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491" windowWidth="10320" windowHeight="7485" tabRatio="293" activeTab="0"/>
  </bookViews>
  <sheets>
    <sheet name="รายงาน ผอ." sheetId="1" r:id="rId1"/>
    <sheet name="ประเภทเงิน" sheetId="2" r:id="rId2"/>
    <sheet name="ผูกพัน" sheetId="3" r:id="rId3"/>
    <sheet name="สรุป" sheetId="4" r:id="rId4"/>
  </sheets>
  <externalReferences>
    <externalReference r:id="rId7"/>
    <externalReference r:id="rId8"/>
  </externalReferences>
  <definedNames>
    <definedName name="_xlnm.Print_Titles" localSheetId="2">'ผูกพัน'!$3:$3</definedName>
  </definedNames>
  <calcPr fullCalcOnLoad="1"/>
</workbook>
</file>

<file path=xl/sharedStrings.xml><?xml version="1.0" encoding="utf-8"?>
<sst xmlns="http://schemas.openxmlformats.org/spreadsheetml/2006/main" count="2816" uniqueCount="218">
  <si>
    <t>รายงานการรับ - จ่ายเงินบำรุง</t>
  </si>
  <si>
    <t>โรงพยาบาลสวนสราญรมย์</t>
  </si>
  <si>
    <t>รายการ</t>
  </si>
  <si>
    <t>ค่าตอบแทน</t>
  </si>
  <si>
    <t>ค่าใช้สอย</t>
  </si>
  <si>
    <t>ค่าวัสดุ</t>
  </si>
  <si>
    <t>ค่าครุภัณฑ์</t>
  </si>
  <si>
    <t>รวม</t>
  </si>
  <si>
    <t>เดือนนี้</t>
  </si>
  <si>
    <t>รวมตั้งแต่ต้นปี</t>
  </si>
  <si>
    <t>รายรับ</t>
  </si>
  <si>
    <t>เงินบริจาค</t>
  </si>
  <si>
    <t>รวมรายรับ</t>
  </si>
  <si>
    <t>รายจ่าย</t>
  </si>
  <si>
    <t>ค่าสาธารณูปโภค</t>
  </si>
  <si>
    <t>ค่าที่ดินและสิ่งก่อสร้าง</t>
  </si>
  <si>
    <t>เงินอุดหนุน</t>
  </si>
  <si>
    <t>อื่น ๆ</t>
  </si>
  <si>
    <t>รายรับสูงกว่า  (ต่ำกว่า)  รายจ่าย</t>
  </si>
  <si>
    <t>บวกเงินบำรุงคงเหลือมาจากเดือนก่อน</t>
  </si>
  <si>
    <t>เงินบำรุงคงเหลือยกไป</t>
  </si>
  <si>
    <t>รายจ่ายอื่น ๆ (สำรองฉุกเฉิน)</t>
  </si>
  <si>
    <t>ค่าอาหารคนไข้</t>
  </si>
  <si>
    <t>ค่าห้อง</t>
  </si>
  <si>
    <t>ดอกเบี้ยรับจากธนาคาร</t>
  </si>
  <si>
    <t>ค่าตรวจรักษาและบริการทางการแพทย์</t>
  </si>
  <si>
    <t>ค่าขายผลิตผลและผลิตภัณฑ์ฝึกอาชีพผู้ป่วย</t>
  </si>
  <si>
    <t>ค่ารักษาฯเรียกเก็บจากประกันสุขภาพ</t>
  </si>
  <si>
    <t>ค่ารักษาฯเรียกเก็บจากประกันสังคม</t>
  </si>
  <si>
    <t>รวมทั้งสิ้น</t>
  </si>
  <si>
    <t>ลำดับ</t>
  </si>
  <si>
    <t>-</t>
  </si>
  <si>
    <t>ค่าขายยางพารา</t>
  </si>
  <si>
    <t>รายงานเงินฝากธนาคาร, ฝากคลัง</t>
  </si>
  <si>
    <t>บัญชีเงินฝาก</t>
  </si>
  <si>
    <t>รับ</t>
  </si>
  <si>
    <t>จ่าย</t>
  </si>
  <si>
    <t>ยอดยกมา</t>
  </si>
  <si>
    <t>ตั้งแต่ต้นปี</t>
  </si>
  <si>
    <t>คงเหลือ</t>
  </si>
  <si>
    <t>เงินฝากกระแสรายวัน 808-6-00304-3 รพ.สวนฯ</t>
  </si>
  <si>
    <t>เงินฝากออมทรัพย์ 808-0-01737-9 บัตรประกันสังคม</t>
  </si>
  <si>
    <t>เงินฝากออมทรัพย์ 731-2-20212-5 บัตรประกันสุขภาพ</t>
  </si>
  <si>
    <t>เงินฝากออมทรัพย์ 731-2-22130-3 อุดหนุนบัตรประกันสุขภาพ</t>
  </si>
  <si>
    <t>เงินฝากคลัง ค่ารักษาพยาบาล บัญชีย่อย 10001</t>
  </si>
  <si>
    <t>ร้อยละ</t>
  </si>
  <si>
    <t>ค่ารักษาฯเรียกเก็บจากรัฐวิสาหกิจ</t>
  </si>
  <si>
    <t>ค่าสมัครสอบ</t>
  </si>
  <si>
    <t xml:space="preserve">รายการใบสำคัญค้างจ่ายเงิน บำรุง </t>
  </si>
  <si>
    <t>จำนวนเงิน</t>
  </si>
  <si>
    <t xml:space="preserve">ค่าล่วงเวลาฝ่ายการพยาบาล </t>
  </si>
  <si>
    <t xml:space="preserve">ค่าล่วงเวลาแพทย์ </t>
  </si>
  <si>
    <t xml:space="preserve">ค่าจิตแพทย์ </t>
  </si>
  <si>
    <t>ค่ายาและเวชภัณฑ์(ผู้ป่วยทั่วไป)</t>
  </si>
  <si>
    <t>ค่าล่วงเวลาฝ่ายบริหาร</t>
  </si>
  <si>
    <t>เงินรับฝากจาก สปสช งบลงทุน</t>
  </si>
  <si>
    <t>ค่ากล่องยา</t>
  </si>
  <si>
    <t>ค่าที่ดินสิ่งก่อสร้าง</t>
  </si>
  <si>
    <t>ค่าจ้างเหมาบริการ</t>
  </si>
  <si>
    <t>ค่าซ่อมแซมบำรุงรักษา</t>
  </si>
  <si>
    <t>ค่าใช้จ่ายโครงการอบรม</t>
  </si>
  <si>
    <t>ค่าวัสดุเชื้อเพลิงหล่อลื่น</t>
  </si>
  <si>
    <t xml:space="preserve"> -</t>
  </si>
  <si>
    <t>ค่าตอบแทนเวรบ่าย-ดึก</t>
  </si>
  <si>
    <t>ค่าตอบแทนเจ้าหน้าที่ปฎิบัติงานให้กับหน่วยบริการ</t>
  </si>
  <si>
    <t xml:space="preserve"> </t>
  </si>
  <si>
    <t>เงินเพิ่มพิเศษแพทย์ฯไม่ทำเวชส่วนตัว</t>
  </si>
  <si>
    <t>เงินฝากออมทรัพย์ 808-0-43507-3 เงินอุดหนุนด้านสาธารณสุขบุคคลที่มีปัญหา</t>
  </si>
  <si>
    <t>ค่าขายแบบก่อสร้าง</t>
  </si>
  <si>
    <t>ค่าครุภัณฑ์ต่ำกว่าเกณฑ์</t>
  </si>
  <si>
    <t>ค่าจ้าง พนักงานกระทรวงสาธารณสุข และลูกจ้างชั่วคราว</t>
  </si>
  <si>
    <t>แผนประมาณการ</t>
  </si>
  <si>
    <t>(บาท)</t>
  </si>
  <si>
    <t>ร.พ.</t>
  </si>
  <si>
    <t>ค่าตอบแทนการให้บริการแพทย์แผนไทย</t>
  </si>
  <si>
    <t>ค่าธรรมเนียมทางทันตกรรม</t>
  </si>
  <si>
    <t>ค่าตอบแทนแหล่งฝึก</t>
  </si>
  <si>
    <t>ค่าขายมะพร้าว</t>
  </si>
  <si>
    <t>ส.สุขภาพจิตเด็กฯ</t>
  </si>
  <si>
    <t>ค่าปรับห้องสมุด</t>
  </si>
  <si>
    <t>รพ.</t>
  </si>
  <si>
    <t>เงินบำรุงยกมาต้นปี</t>
  </si>
  <si>
    <t>บวก</t>
  </si>
  <si>
    <t>รายรับรวมตั้งแต่ต้นปี</t>
  </si>
  <si>
    <t>รวมเงินบำรุง</t>
  </si>
  <si>
    <t>หัก</t>
  </si>
  <si>
    <t>รายจ่ายตั้งแต่ต้นปี</t>
  </si>
  <si>
    <t>เงินบำรุงคงเหลือก่อนหักหนี้สินผูกพัน</t>
  </si>
  <si>
    <t>หนี้สินผูกพัน</t>
  </si>
  <si>
    <t>เงินบำรุงคงเหลือสุทธิ</t>
  </si>
  <si>
    <t>สถาบันฯ</t>
  </si>
  <si>
    <t>รายงานสถานะเงินบำรุง</t>
  </si>
  <si>
    <t>ค่าขายต้นเหลืองอินเดีย</t>
  </si>
  <si>
    <t>ค่าตอบแทนการฝึกอาชีพผู้ป่วย</t>
  </si>
  <si>
    <t>ค่าใช้จ่ายในการเดินทางไปราชการ</t>
  </si>
  <si>
    <t>โรงพยาบาลสวนสราญรมย์และสถาบันสุขภาพจิตเด็กและวัยรุ่นภาคใต้</t>
  </si>
  <si>
    <t>สถาบันสุขภาพจิตเด็กและวัยรุ่นภาคใต้</t>
  </si>
  <si>
    <t>ค่ารักษาฯเรียกเก็บจาก อปท.</t>
  </si>
  <si>
    <t>ค่าที่พัก</t>
  </si>
  <si>
    <t>ค่าถ่ายเอกสาร</t>
  </si>
  <si>
    <t>ค่าตรวจวิเคราะห์ผลการทดสอบ</t>
  </si>
  <si>
    <t>ค่าเช่าห้องประชุม</t>
  </si>
  <si>
    <t>ค่าขายเศษพัสดุ</t>
  </si>
  <si>
    <t>ค่าขายขยะรีไซเคิล</t>
  </si>
  <si>
    <t>ค่าบริการออกกำลังกาย-ฟิตเนส</t>
  </si>
  <si>
    <t>ค่าปฏิบัติการแพทย์แผนไทย</t>
  </si>
  <si>
    <t>ค่ารักษาพยาบาลผู้ป่วยสิทธิข้าราชการ</t>
  </si>
  <si>
    <t>หนี้สูญได้รับคืน</t>
  </si>
  <si>
    <t>ค่าปรับสินค้าและบริการ</t>
  </si>
  <si>
    <t>ค่าตอบแทนแพทย์ช่วยตรวจ</t>
  </si>
  <si>
    <t>รายการปรับปรุง</t>
  </si>
  <si>
    <t xml:space="preserve">        เงินมัดจำค่ารักษาพยาบาล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</si>
  <si>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เงินค้ำประกันสัญญา</t>
    </r>
  </si>
  <si>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ลูกหนี้เงินยืมนอกงบประมาณ</t>
    </r>
  </si>
  <si>
    <t>โรงพยาบาลฯ</t>
  </si>
  <si>
    <t>บำรุง  ร.พ.</t>
  </si>
  <si>
    <t>รายงานเงินรับฝากอื่น</t>
  </si>
  <si>
    <t>เงินฝากธนาคาร,ฝากคลัง</t>
  </si>
  <si>
    <t>ของแผน</t>
  </si>
  <si>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หนี้สินผูกพัน</t>
    </r>
  </si>
  <si>
    <t>เงินโอนไม่ทราบหน่วยงาน</t>
  </si>
  <si>
    <t xml:space="preserve">        เงินรับฝาก-สนับสนุนงบลงทุน จาก สปสช.</t>
  </si>
  <si>
    <t>ค่าตอบแทนในการจัดเก็บข้อมูล</t>
  </si>
  <si>
    <t>สถาบันเด็ก</t>
  </si>
  <si>
    <t>ค่าบริการซักผ้า</t>
  </si>
  <si>
    <t>ค่าใช้จ่ายจัดประชุม</t>
  </si>
  <si>
    <t>รวมรายจ่าย</t>
  </si>
  <si>
    <t>รวมรายจ่าย-ผูกพัน</t>
  </si>
  <si>
    <t>ณ วันที่ 31  ตุลาคม 2560</t>
  </si>
  <si>
    <t>*รวมรายจ่ายทั้งสิ้น</t>
  </si>
  <si>
    <t>ค่าที่ดิน สิ่งก่อสร้าง</t>
  </si>
  <si>
    <t>ณ วันที่ 30  พฤศจิกายน 2560</t>
  </si>
  <si>
    <t>ณ วันที่ 31  ธันวาคม 2560</t>
  </si>
  <si>
    <t>ณ วันที่ 31  มกราคม 2561</t>
  </si>
  <si>
    <t>ณ วันที่ 28  กุมภาพันธ์ 2561</t>
  </si>
  <si>
    <t>ณ วันที่ 30  เมษายน 2561</t>
  </si>
  <si>
    <t>ณ วันที่ 31  พฤษภาคม 2561</t>
  </si>
  <si>
    <t>ณ วันที่ 31  กรกฎาคม 2561</t>
  </si>
  <si>
    <t>ณ วันที่ 31  สิงหาคม 2561</t>
  </si>
  <si>
    <t>ค่าตอบแทนผู้ควบคุมงาน</t>
  </si>
  <si>
    <t>ณ วันที่ 31  ตุลาคม 2561</t>
  </si>
  <si>
    <t xml:space="preserve"> ณ วันที่ 31  ตุลาคม พ.ศ. 2561</t>
  </si>
  <si>
    <t>รายรับ- รพ.ปี 2562</t>
  </si>
  <si>
    <t>ค่าเวชภัณฑ์,เวชภัณฑ์ที่มิใช่ยา,ค่าวัสดุวิทยาศาสตร์การแพทย์</t>
  </si>
  <si>
    <t>ค่าใช้จ่ายผูกพัน ปีงบ 61 จ่ายในปี 62</t>
  </si>
  <si>
    <t>รายรับ- สถาบันฯ.ปี 2562</t>
  </si>
  <si>
    <t>31 ต.ค.61</t>
  </si>
  <si>
    <t>1 ต.ค. 61</t>
  </si>
  <si>
    <t>เงินฝากออมทรัพย์ 808-0-43507-3 เงินบริจาค</t>
  </si>
  <si>
    <t>เงินฝากคลัง ค่ารักษาพยาบาล บัญชีย่อย 10770</t>
  </si>
  <si>
    <t>เงินมัดจำค่ารักษาพยาบาล</t>
  </si>
  <si>
    <t>เงินสมทบบูรณะทรัพย์สินค่าน้ำ-ค่าไฟฟ้า</t>
  </si>
  <si>
    <t xml:space="preserve">        เงินสมทบบูรณะทรัพย์สินค่าน้ำ-ค่าไฟ</t>
  </si>
  <si>
    <t>ประจำเดือน ตุลาคม 2561</t>
  </si>
  <si>
    <t>เงินบำรุงคงเหลือสุทธิ ณ 31  ตุลาคม 2561</t>
  </si>
  <si>
    <t>ริบหลักประกันสัญญา</t>
  </si>
  <si>
    <t xml:space="preserve"> ณ วันที่ 30  พฤศจิกายน พ.ศ. 2561</t>
  </si>
  <si>
    <t>เงินฝากออมทรัพย์ 808-0-60855-5 เงินบริจาค</t>
  </si>
  <si>
    <t>เงินบำรุงคงเหลือสุทธิ ณ 30 พฤศจิกายน 2561</t>
  </si>
  <si>
    <t>30 พ.ย.61</t>
  </si>
  <si>
    <t>ประจำเดือน พฤศจิกายน 2561</t>
  </si>
  <si>
    <t>ค่าเช่ารถ</t>
  </si>
  <si>
    <t>ค่าสาธารณูปโภค (ค่าเช่าอินเตอร์เน็ต)</t>
  </si>
  <si>
    <t xml:space="preserve"> ณ วันที่ 31 ธันวาคม พ.ศ. 2561</t>
  </si>
  <si>
    <t>31 ธ.ค.61</t>
  </si>
  <si>
    <t>ประจำเดือน ธันวาคม 2561</t>
  </si>
  <si>
    <t>ณ วันที่ 31 ธันวาคม 2561</t>
  </si>
  <si>
    <t>ณ วันที่ 31 มกราคม 2562</t>
  </si>
  <si>
    <t xml:space="preserve"> ณ วันที่ 31 มกราคม พ.ศ. 2562</t>
  </si>
  <si>
    <t>31 ม.ค.62</t>
  </si>
  <si>
    <t>ค่าวัสดุทั่วไป</t>
  </si>
  <si>
    <t>ค่าเวชภัณฑ์ยา</t>
  </si>
  <si>
    <t>ประจำเดือน มกราคม 2562</t>
  </si>
  <si>
    <t xml:space="preserve"> ณ วันที่ 28 กุมภาพันธ์ พ.ศ. 2562</t>
  </si>
  <si>
    <t>เงินบำรุงคงเหลือสุทธิ ณ 28  กุมภาพันธ์ 2562</t>
  </si>
  <si>
    <t>ประจำเดือน กุมภาพันธ์ 2562</t>
  </si>
  <si>
    <t>ณ วันที่ 28 กุมภาพันธ์2562</t>
  </si>
  <si>
    <t>28 ก.พ.62</t>
  </si>
  <si>
    <t xml:space="preserve"> ณ วันที่ 31 มีนาคม พ.ศ. 2562</t>
  </si>
  <si>
    <t>31 มี.ค.62</t>
  </si>
  <si>
    <t>เงินบำรุงคงเหลือสุทธิ ณ 31 มีนาคม 2562</t>
  </si>
  <si>
    <t>ประจำเดือน มีนาคม 2562</t>
  </si>
  <si>
    <t>ณ วันที่ 31 มีนาคม 2562</t>
  </si>
  <si>
    <t>ค่าบริการ</t>
  </si>
  <si>
    <t xml:space="preserve"> ณ วันที่ 30 เมษายน พ.ศ. 2562</t>
  </si>
  <si>
    <t>เงินเหลือจ่าย สปสช</t>
  </si>
  <si>
    <t>ค่าตอบแทนค่าจ้างปีเก่า</t>
  </si>
  <si>
    <t>30 เม.ย.62</t>
  </si>
  <si>
    <t>เงินบำรุงคงเหลือสุทธิ ณ 30 เมษายน 2562</t>
  </si>
  <si>
    <t>ประจำเดือน เมษายน 2562</t>
  </si>
  <si>
    <t xml:space="preserve"> ณ วันที่ 31 พฤษภาคม พ.ศ. 2562</t>
  </si>
  <si>
    <t>31 พ.ค.62</t>
  </si>
  <si>
    <t>ประจำเดือน พฤษภาคม 2562</t>
  </si>
  <si>
    <t>รายได้อื่น-อิ่นๆ</t>
  </si>
  <si>
    <t>รายได้ค่าปรับ</t>
  </si>
  <si>
    <t>เงินบำรุงคงเหลือสุทธิ ณ 31 พฤษภาคม 2562</t>
  </si>
  <si>
    <t>ณ วันที่ 31 พฤษภาคม 2562</t>
  </si>
  <si>
    <t>เงินรับฝากจาก โครงการPG</t>
  </si>
  <si>
    <t xml:space="preserve">        เงินรับฝาก-โครงการ PG</t>
  </si>
  <si>
    <t xml:space="preserve"> ณ วันที่ 30  มิถุนายน พ.ศ. 2562</t>
  </si>
  <si>
    <t>30 มิ.ย.62</t>
  </si>
  <si>
    <t>ณ วันที่ 30  มิถุนายน 2562</t>
  </si>
  <si>
    <t>เงินบำรุงคงเหลือสุทธิ ณ 30 มิถุนายน 2562</t>
  </si>
  <si>
    <t>ณ วันที่ 31 กรกฎาคม 2562</t>
  </si>
  <si>
    <t xml:space="preserve"> ณ วันที่ 31  กรกฎาคม พ.ศ. 2562</t>
  </si>
  <si>
    <t>31 ก.ค.62</t>
  </si>
  <si>
    <t>เงินบำรุงคงเหลือสุทธิ ณ 31 กรกฎาคม 2562</t>
  </si>
  <si>
    <t>ประจำเดือน กรกฎาคม 2562</t>
  </si>
  <si>
    <t xml:space="preserve"> ณ วันที่ 30 กันยายน พ.ศ. 2562</t>
  </si>
  <si>
    <t>30 ก.ย.62</t>
  </si>
  <si>
    <t>เงินบำรุงคงเหลือสุทธิ ณ 30 กันยายน 2562</t>
  </si>
  <si>
    <t>ประจำเดือน กันยายน 2562</t>
  </si>
  <si>
    <t>ณ วันที่ 30 กันยายน 2562</t>
  </si>
  <si>
    <t>ค่าตอบแทนผู้ควบคุมงานก่อสร้าง</t>
  </si>
  <si>
    <t>ค่าตอบแทนแพทย์ที่ปรึกษา</t>
  </si>
  <si>
    <t>ค่าตอบแทนแพทย์ต่างหน่วยบริการ</t>
  </si>
  <si>
    <t>ค่าใช้จ่ายเดินทางไปราชการ</t>
  </si>
  <si>
    <t>ค่าขายของฝีมือผู้ป่วย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</si>
</sst>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%"/>
    <numFmt numFmtId="205" formatCode="0.0"/>
    <numFmt numFmtId="206" formatCode="0.000%"/>
    <numFmt numFmtId="207" formatCode="0.0000%"/>
    <numFmt numFmtId="208" formatCode="#,##0.000"/>
    <numFmt numFmtId="209" formatCode="#,##0.00_ ;\-#,##0.00\ "/>
    <numFmt numFmtId="210" formatCode="#,##0.0"/>
    <numFmt numFmtId="211" formatCode="0.00000%"/>
    <numFmt numFmtId="212" formatCode="0.000000%"/>
    <numFmt numFmtId="213" formatCode="0.0000000%"/>
    <numFmt numFmtId="214" formatCode="0.00000000%"/>
    <numFmt numFmtId="215" formatCode="#,##0.0000"/>
  </numFmts>
  <fonts count="46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8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43" fontId="2" fillId="0" borderId="10" xfId="36" applyFont="1" applyBorder="1" applyAlignment="1">
      <alignment/>
    </xf>
    <xf numFmtId="43" fontId="2" fillId="0" borderId="11" xfId="36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2" fillId="0" borderId="13" xfId="36" applyFont="1" applyBorder="1" applyAlignment="1">
      <alignment/>
    </xf>
    <xf numFmtId="43" fontId="1" fillId="0" borderId="14" xfId="36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6" xfId="36" applyFont="1" applyBorder="1" applyAlignment="1">
      <alignment/>
    </xf>
    <xf numFmtId="43" fontId="1" fillId="0" borderId="17" xfId="36" applyFont="1" applyBorder="1" applyAlignment="1">
      <alignment/>
    </xf>
    <xf numFmtId="43" fontId="1" fillId="0" borderId="18" xfId="36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/>
    </xf>
    <xf numFmtId="214" fontId="2" fillId="0" borderId="3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25" xfId="36" applyFont="1" applyBorder="1" applyAlignment="1">
      <alignment horizontal="center"/>
    </xf>
    <xf numFmtId="49" fontId="6" fillId="0" borderId="30" xfId="36" applyNumberFormat="1" applyFont="1" applyBorder="1" applyAlignment="1">
      <alignment horizontal="center"/>
    </xf>
    <xf numFmtId="43" fontId="6" fillId="0" borderId="30" xfId="36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43" fontId="6" fillId="0" borderId="17" xfId="36" applyFont="1" applyBorder="1" applyAlignment="1">
      <alignment/>
    </xf>
    <xf numFmtId="43" fontId="6" fillId="0" borderId="17" xfId="36" applyFont="1" applyFill="1" applyBorder="1" applyAlignment="1">
      <alignment/>
    </xf>
    <xf numFmtId="43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3" fontId="6" fillId="0" borderId="15" xfId="36" applyFont="1" applyFill="1" applyBorder="1" applyAlignment="1">
      <alignment/>
    </xf>
    <xf numFmtId="43" fontId="6" fillId="0" borderId="15" xfId="36" applyFont="1" applyBorder="1" applyAlignment="1">
      <alignment/>
    </xf>
    <xf numFmtId="43" fontId="8" fillId="0" borderId="15" xfId="36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43" fontId="6" fillId="0" borderId="26" xfId="36" applyFont="1" applyFill="1" applyBorder="1" applyAlignment="1">
      <alignment/>
    </xf>
    <xf numFmtId="43" fontId="6" fillId="0" borderId="30" xfId="36" applyFont="1" applyFill="1" applyBorder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3" fontId="9" fillId="0" borderId="12" xfId="36" applyFont="1" applyBorder="1" applyAlignment="1">
      <alignment/>
    </xf>
    <xf numFmtId="0" fontId="6" fillId="0" borderId="0" xfId="0" applyFont="1" applyAlignment="1">
      <alignment horizontal="center"/>
    </xf>
    <xf numFmtId="43" fontId="6" fillId="0" borderId="0" xfId="36" applyFont="1" applyAlignment="1">
      <alignment/>
    </xf>
    <xf numFmtId="43" fontId="6" fillId="0" borderId="14" xfId="36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26" xfId="36" applyFont="1" applyBorder="1" applyAlignment="1">
      <alignment/>
    </xf>
    <xf numFmtId="43" fontId="6" fillId="0" borderId="34" xfId="0" applyNumberFormat="1" applyFont="1" applyBorder="1" applyAlignment="1">
      <alignment/>
    </xf>
    <xf numFmtId="214" fontId="2" fillId="0" borderId="35" xfId="0" applyNumberFormat="1" applyFont="1" applyBorder="1" applyAlignment="1">
      <alignment horizontal="center"/>
    </xf>
    <xf numFmtId="10" fontId="2" fillId="0" borderId="36" xfId="46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/>
    </xf>
    <xf numFmtId="4" fontId="1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1" fillId="0" borderId="52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4" fontId="1" fillId="0" borderId="59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10" fontId="2" fillId="0" borderId="65" xfId="46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/>
    </xf>
    <xf numFmtId="4" fontId="2" fillId="0" borderId="68" xfId="0" applyNumberFormat="1" applyFont="1" applyBorder="1" applyAlignment="1">
      <alignment/>
    </xf>
    <xf numFmtId="4" fontId="2" fillId="0" borderId="69" xfId="0" applyNumberFormat="1" applyFont="1" applyBorder="1" applyAlignment="1">
      <alignment/>
    </xf>
    <xf numFmtId="4" fontId="2" fillId="0" borderId="70" xfId="0" applyNumberFormat="1" applyFont="1" applyBorder="1" applyAlignment="1">
      <alignment/>
    </xf>
    <xf numFmtId="4" fontId="2" fillId="0" borderId="71" xfId="0" applyNumberFormat="1" applyFont="1" applyBorder="1" applyAlignment="1">
      <alignment/>
    </xf>
    <xf numFmtId="4" fontId="2" fillId="0" borderId="72" xfId="0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9" fillId="0" borderId="0" xfId="0" applyFont="1" applyAlignment="1">
      <alignment/>
    </xf>
    <xf numFmtId="43" fontId="9" fillId="0" borderId="77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52" xfId="0" applyFont="1" applyBorder="1" applyAlignment="1">
      <alignment/>
    </xf>
    <xf numFmtId="43" fontId="1" fillId="0" borderId="52" xfId="36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3" fontId="1" fillId="0" borderId="21" xfId="36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0" borderId="53" xfId="0" applyNumberFormat="1" applyFont="1" applyBorder="1" applyAlignment="1">
      <alignment/>
    </xf>
    <xf numFmtId="43" fontId="1" fillId="0" borderId="53" xfId="36" applyFont="1" applyBorder="1" applyAlignment="1">
      <alignment/>
    </xf>
    <xf numFmtId="0" fontId="1" fillId="0" borderId="16" xfId="0" applyFont="1" applyBorder="1" applyAlignment="1">
      <alignment horizontal="center"/>
    </xf>
    <xf numFmtId="43" fontId="2" fillId="0" borderId="12" xfId="36" applyFont="1" applyBorder="1" applyAlignment="1">
      <alignment/>
    </xf>
    <xf numFmtId="43" fontId="1" fillId="0" borderId="33" xfId="36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3" fontId="2" fillId="0" borderId="18" xfId="36" applyFont="1" applyBorder="1" applyAlignment="1">
      <alignment horizontal="center"/>
    </xf>
    <xf numFmtId="43" fontId="2" fillId="0" borderId="17" xfId="36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53" xfId="36" applyFont="1" applyBorder="1" applyAlignment="1">
      <alignment horizontal="left"/>
    </xf>
    <xf numFmtId="43" fontId="2" fillId="0" borderId="33" xfId="36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2" fillId="0" borderId="0" xfId="36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4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" fontId="1" fillId="33" borderId="40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44" xfId="0" applyNumberFormat="1" applyFont="1" applyFill="1" applyBorder="1" applyAlignment="1">
      <alignment/>
    </xf>
    <xf numFmtId="4" fontId="1" fillId="33" borderId="79" xfId="0" applyNumberFormat="1" applyFont="1" applyFill="1" applyBorder="1" applyAlignment="1">
      <alignment/>
    </xf>
    <xf numFmtId="4" fontId="1" fillId="33" borderId="33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10" fontId="2" fillId="33" borderId="36" xfId="46" applyNumberFormat="1" applyFont="1" applyFill="1" applyBorder="1" applyAlignment="1">
      <alignment/>
    </xf>
    <xf numFmtId="214" fontId="2" fillId="33" borderId="35" xfId="0" applyNumberFormat="1" applyFont="1" applyFill="1" applyBorder="1" applyAlignment="1">
      <alignment horizontal="center"/>
    </xf>
    <xf numFmtId="214" fontId="2" fillId="33" borderId="27" xfId="0" applyNumberFormat="1" applyFont="1" applyFill="1" applyBorder="1" applyAlignment="1">
      <alignment horizontal="center"/>
    </xf>
    <xf numFmtId="0" fontId="2" fillId="33" borderId="80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10" fontId="2" fillId="33" borderId="65" xfId="46" applyNumberFormat="1" applyFont="1" applyFill="1" applyBorder="1" applyAlignment="1">
      <alignment/>
    </xf>
    <xf numFmtId="4" fontId="2" fillId="33" borderId="72" xfId="0" applyNumberFormat="1" applyFont="1" applyFill="1" applyBorder="1" applyAlignment="1">
      <alignment/>
    </xf>
    <xf numFmtId="4" fontId="2" fillId="33" borderId="69" xfId="0" applyNumberFormat="1" applyFont="1" applyFill="1" applyBorder="1" applyAlignment="1">
      <alignment/>
    </xf>
    <xf numFmtId="4" fontId="2" fillId="33" borderId="67" xfId="0" applyNumberFormat="1" applyFont="1" applyFill="1" applyBorder="1" applyAlignment="1">
      <alignment/>
    </xf>
    <xf numFmtId="4" fontId="2" fillId="33" borderId="71" xfId="0" applyNumberFormat="1" applyFont="1" applyFill="1" applyBorder="1" applyAlignment="1">
      <alignment/>
    </xf>
    <xf numFmtId="4" fontId="1" fillId="33" borderId="58" xfId="0" applyNumberFormat="1" applyFont="1" applyFill="1" applyBorder="1" applyAlignment="1">
      <alignment/>
    </xf>
    <xf numFmtId="4" fontId="1" fillId="33" borderId="60" xfId="0" applyNumberFormat="1" applyFont="1" applyFill="1" applyBorder="1" applyAlignment="1">
      <alignment/>
    </xf>
    <xf numFmtId="43" fontId="9" fillId="0" borderId="81" xfId="0" applyNumberFormat="1" applyFont="1" applyBorder="1" applyAlignment="1">
      <alignment/>
    </xf>
    <xf numFmtId="4" fontId="2" fillId="33" borderId="62" xfId="0" applyNumberFormat="1" applyFont="1" applyFill="1" applyBorder="1" applyAlignment="1">
      <alignment/>
    </xf>
    <xf numFmtId="10" fontId="2" fillId="0" borderId="74" xfId="46" applyNumberFormat="1" applyFont="1" applyBorder="1" applyAlignment="1">
      <alignment/>
    </xf>
    <xf numFmtId="4" fontId="2" fillId="0" borderId="82" xfId="0" applyNumberFormat="1" applyFont="1" applyBorder="1" applyAlignment="1">
      <alignment/>
    </xf>
    <xf numFmtId="10" fontId="2" fillId="0" borderId="83" xfId="46" applyNumberFormat="1" applyFont="1" applyBorder="1" applyAlignment="1">
      <alignment/>
    </xf>
    <xf numFmtId="4" fontId="2" fillId="0" borderId="73" xfId="0" applyNumberFormat="1" applyFont="1" applyBorder="1" applyAlignment="1">
      <alignment/>
    </xf>
    <xf numFmtId="4" fontId="2" fillId="0" borderId="74" xfId="0" applyNumberFormat="1" applyFont="1" applyBorder="1" applyAlignment="1">
      <alignment/>
    </xf>
    <xf numFmtId="10" fontId="2" fillId="33" borderId="74" xfId="46" applyNumberFormat="1" applyFont="1" applyFill="1" applyBorder="1" applyAlignment="1">
      <alignment/>
    </xf>
    <xf numFmtId="4" fontId="2" fillId="33" borderId="73" xfId="0" applyNumberFormat="1" applyFont="1" applyFill="1" applyBorder="1" applyAlignment="1">
      <alignment/>
    </xf>
    <xf numFmtId="4" fontId="2" fillId="33" borderId="74" xfId="0" applyNumberFormat="1" applyFon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84" xfId="0" applyNumberFormat="1" applyFont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43" fontId="2" fillId="0" borderId="85" xfId="36" applyFont="1" applyBorder="1" applyAlignment="1">
      <alignment/>
    </xf>
    <xf numFmtId="0" fontId="9" fillId="0" borderId="0" xfId="0" applyFont="1" applyAlignment="1">
      <alignment horizontal="center"/>
    </xf>
    <xf numFmtId="43" fontId="9" fillId="0" borderId="0" xfId="36" applyFont="1" applyAlignment="1">
      <alignment/>
    </xf>
    <xf numFmtId="43" fontId="9" fillId="0" borderId="0" xfId="0" applyNumberFormat="1" applyFont="1" applyAlignment="1">
      <alignment horizontal="center"/>
    </xf>
    <xf numFmtId="0" fontId="1" fillId="0" borderId="73" xfId="0" applyFont="1" applyBorder="1" applyAlignment="1">
      <alignment/>
    </xf>
    <xf numFmtId="4" fontId="1" fillId="33" borderId="86" xfId="0" applyNumberFormat="1" applyFont="1" applyFill="1" applyBorder="1" applyAlignment="1">
      <alignment/>
    </xf>
    <xf numFmtId="10" fontId="2" fillId="33" borderId="44" xfId="46" applyNumberFormat="1" applyFont="1" applyFill="1" applyBorder="1" applyAlignment="1">
      <alignment/>
    </xf>
    <xf numFmtId="4" fontId="1" fillId="33" borderId="64" xfId="0" applyNumberFormat="1" applyFont="1" applyFill="1" applyBorder="1" applyAlignment="1">
      <alignment/>
    </xf>
    <xf numFmtId="0" fontId="2" fillId="0" borderId="87" xfId="0" applyFont="1" applyBorder="1" applyAlignment="1">
      <alignment horizontal="center"/>
    </xf>
    <xf numFmtId="0" fontId="1" fillId="0" borderId="51" xfId="0" applyFont="1" applyBorder="1" applyAlignment="1">
      <alignment/>
    </xf>
    <xf numFmtId="10" fontId="2" fillId="0" borderId="75" xfId="46" applyNumberFormat="1" applyFont="1" applyBorder="1" applyAlignment="1">
      <alignment/>
    </xf>
    <xf numFmtId="0" fontId="4" fillId="0" borderId="88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1" fillId="33" borderId="32" xfId="0" applyNumberFormat="1" applyFont="1" applyFill="1" applyBorder="1" applyAlignment="1">
      <alignment/>
    </xf>
    <xf numFmtId="9" fontId="2" fillId="33" borderId="89" xfId="46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10" fontId="2" fillId="0" borderId="90" xfId="46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9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92" xfId="0" applyNumberFormat="1" applyFont="1" applyBorder="1" applyAlignment="1">
      <alignment/>
    </xf>
    <xf numFmtId="10" fontId="2" fillId="33" borderId="90" xfId="46" applyNumberFormat="1" applyFont="1" applyFill="1" applyBorder="1" applyAlignment="1">
      <alignment/>
    </xf>
    <xf numFmtId="4" fontId="2" fillId="0" borderId="93" xfId="0" applyNumberFormat="1" applyFont="1" applyBorder="1" applyAlignment="1">
      <alignment/>
    </xf>
    <xf numFmtId="4" fontId="2" fillId="0" borderId="94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43" fontId="1" fillId="0" borderId="26" xfId="36" applyFont="1" applyBorder="1" applyAlignment="1">
      <alignment/>
    </xf>
    <xf numFmtId="0" fontId="2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3" fontId="6" fillId="0" borderId="17" xfId="36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/>
    </xf>
    <xf numFmtId="10" fontId="2" fillId="0" borderId="27" xfId="46" applyNumberFormat="1" applyFont="1" applyBorder="1" applyAlignment="1">
      <alignment/>
    </xf>
    <xf numFmtId="4" fontId="1" fillId="33" borderId="38" xfId="0" applyNumberFormat="1" applyFont="1" applyFill="1" applyBorder="1" applyAlignment="1">
      <alignment/>
    </xf>
    <xf numFmtId="4" fontId="1" fillId="33" borderId="43" xfId="0" applyNumberFormat="1" applyFont="1" applyFill="1" applyBorder="1" applyAlignment="1">
      <alignment/>
    </xf>
    <xf numFmtId="10" fontId="2" fillId="33" borderId="43" xfId="46" applyNumberFormat="1" applyFont="1" applyFill="1" applyBorder="1" applyAlignment="1">
      <alignment/>
    </xf>
    <xf numFmtId="43" fontId="6" fillId="0" borderId="14" xfId="36" applyFont="1" applyFill="1" applyBorder="1" applyAlignment="1">
      <alignment/>
    </xf>
    <xf numFmtId="4" fontId="1" fillId="34" borderId="4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34" borderId="64" xfId="0" applyNumberFormat="1" applyFont="1" applyFill="1" applyBorder="1" applyAlignment="1">
      <alignment/>
    </xf>
    <xf numFmtId="4" fontId="2" fillId="34" borderId="92" xfId="0" applyNumberFormat="1" applyFont="1" applyFill="1" applyBorder="1" applyAlignment="1">
      <alignment/>
    </xf>
    <xf numFmtId="4" fontId="2" fillId="34" borderId="91" xfId="0" applyNumberFormat="1" applyFont="1" applyFill="1" applyBorder="1" applyAlignment="1">
      <alignment/>
    </xf>
    <xf numFmtId="4" fontId="2" fillId="34" borderId="62" xfId="0" applyNumberFormat="1" applyFont="1" applyFill="1" applyBorder="1" applyAlignment="1">
      <alignment/>
    </xf>
    <xf numFmtId="4" fontId="1" fillId="34" borderId="58" xfId="0" applyNumberFormat="1" applyFont="1" applyFill="1" applyBorder="1" applyAlignment="1">
      <alignment/>
    </xf>
    <xf numFmtId="4" fontId="2" fillId="34" borderId="7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1" fillId="0" borderId="38" xfId="0" applyNumberFormat="1" applyFont="1" applyBorder="1" applyAlignment="1">
      <alignment horizontal="center" vertical="center"/>
    </xf>
    <xf numFmtId="4" fontId="1" fillId="34" borderId="43" xfId="0" applyNumberFormat="1" applyFont="1" applyFill="1" applyBorder="1" applyAlignment="1">
      <alignment/>
    </xf>
    <xf numFmtId="4" fontId="1" fillId="0" borderId="49" xfId="0" applyNumberFormat="1" applyFont="1" applyBorder="1" applyAlignment="1">
      <alignment vertical="center"/>
    </xf>
    <xf numFmtId="4" fontId="1" fillId="0" borderId="84" xfId="0" applyNumberFormat="1" applyFont="1" applyBorder="1" applyAlignment="1">
      <alignment vertical="center"/>
    </xf>
    <xf numFmtId="43" fontId="9" fillId="0" borderId="25" xfId="36" applyFont="1" applyBorder="1" applyAlignment="1">
      <alignment horizontal="center"/>
    </xf>
    <xf numFmtId="49" fontId="9" fillId="0" borderId="30" xfId="36" applyNumberFormat="1" applyFont="1" applyBorder="1" applyAlignment="1">
      <alignment horizontal="center"/>
    </xf>
    <xf numFmtId="43" fontId="9" fillId="0" borderId="30" xfId="36" applyFont="1" applyBorder="1" applyAlignment="1">
      <alignment horizontal="center"/>
    </xf>
    <xf numFmtId="43" fontId="9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6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67" xfId="0" applyNumberFormat="1" applyFont="1" applyFill="1" applyBorder="1" applyAlignment="1">
      <alignment/>
    </xf>
    <xf numFmtId="4" fontId="2" fillId="0" borderId="71" xfId="0" applyNumberFormat="1" applyFont="1" applyFill="1" applyBorder="1" applyAlignment="1">
      <alignment/>
    </xf>
    <xf numFmtId="4" fontId="2" fillId="0" borderId="72" xfId="0" applyNumberFormat="1" applyFont="1" applyFill="1" applyBorder="1" applyAlignment="1">
      <alignment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33" borderId="95" xfId="0" applyFont="1" applyFill="1" applyBorder="1" applyAlignment="1">
      <alignment horizontal="center"/>
    </xf>
    <xf numFmtId="0" fontId="2" fillId="33" borderId="96" xfId="0" applyFont="1" applyFill="1" applyBorder="1" applyAlignment="1">
      <alignment horizontal="center"/>
    </xf>
    <xf numFmtId="0" fontId="2" fillId="33" borderId="9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98" xfId="0" applyFont="1" applyFill="1" applyBorder="1" applyAlignment="1">
      <alignment horizontal="center" vertical="center"/>
    </xf>
    <xf numFmtId="0" fontId="2" fillId="33" borderId="99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34" borderId="98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23</xdr:row>
      <xdr:rowOff>9525</xdr:rowOff>
    </xdr:from>
    <xdr:to>
      <xdr:col>1</xdr:col>
      <xdr:colOff>219075</xdr:colOff>
      <xdr:row>43</xdr:row>
      <xdr:rowOff>247650</xdr:rowOff>
    </xdr:to>
    <xdr:sp>
      <xdr:nvSpPr>
        <xdr:cNvPr id="1" name="วงเล็บปีกกาขวา 36"/>
        <xdr:cNvSpPr>
          <a:spLocks/>
        </xdr:cNvSpPr>
      </xdr:nvSpPr>
      <xdr:spPr>
        <a:xfrm>
          <a:off x="0" y="5972175"/>
          <a:ext cx="0" cy="6115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9525</xdr:rowOff>
    </xdr:from>
    <xdr:to>
      <xdr:col>12</xdr:col>
      <xdr:colOff>228600</xdr:colOff>
      <xdr:row>44</xdr:row>
      <xdr:rowOff>238125</xdr:rowOff>
    </xdr:to>
    <xdr:sp>
      <xdr:nvSpPr>
        <xdr:cNvPr id="2" name="วงเล็บปีกกาขวา 36"/>
        <xdr:cNvSpPr>
          <a:spLocks/>
        </xdr:cNvSpPr>
      </xdr:nvSpPr>
      <xdr:spPr>
        <a:xfrm>
          <a:off x="0" y="5972175"/>
          <a:ext cx="0" cy="6391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9525</xdr:rowOff>
    </xdr:from>
    <xdr:to>
      <xdr:col>23</xdr:col>
      <xdr:colOff>228600</xdr:colOff>
      <xdr:row>44</xdr:row>
      <xdr:rowOff>238125</xdr:rowOff>
    </xdr:to>
    <xdr:sp>
      <xdr:nvSpPr>
        <xdr:cNvPr id="3" name="วงเล็บปีกกาขวา 36"/>
        <xdr:cNvSpPr>
          <a:spLocks/>
        </xdr:cNvSpPr>
      </xdr:nvSpPr>
      <xdr:spPr>
        <a:xfrm>
          <a:off x="0" y="5972175"/>
          <a:ext cx="0" cy="6391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38100</xdr:colOff>
      <xdr:row>23</xdr:row>
      <xdr:rowOff>9525</xdr:rowOff>
    </xdr:from>
    <xdr:to>
      <xdr:col>34</xdr:col>
      <xdr:colOff>228600</xdr:colOff>
      <xdr:row>44</xdr:row>
      <xdr:rowOff>238125</xdr:rowOff>
    </xdr:to>
    <xdr:sp>
      <xdr:nvSpPr>
        <xdr:cNvPr id="4" name="วงเล็บปีกกาขวา 36"/>
        <xdr:cNvSpPr>
          <a:spLocks/>
        </xdr:cNvSpPr>
      </xdr:nvSpPr>
      <xdr:spPr>
        <a:xfrm>
          <a:off x="0" y="5972175"/>
          <a:ext cx="0" cy="6391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45</xdr:col>
      <xdr:colOff>38100</xdr:colOff>
      <xdr:row>23</xdr:row>
      <xdr:rowOff>9525</xdr:rowOff>
    </xdr:from>
    <xdr:to>
      <xdr:col>45</xdr:col>
      <xdr:colOff>228600</xdr:colOff>
      <xdr:row>44</xdr:row>
      <xdr:rowOff>238125</xdr:rowOff>
    </xdr:to>
    <xdr:sp>
      <xdr:nvSpPr>
        <xdr:cNvPr id="5" name="วงเล็บปีกกาขวา 36"/>
        <xdr:cNvSpPr>
          <a:spLocks/>
        </xdr:cNvSpPr>
      </xdr:nvSpPr>
      <xdr:spPr>
        <a:xfrm>
          <a:off x="0" y="5972175"/>
          <a:ext cx="0" cy="6391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56</xdr:col>
      <xdr:colOff>38100</xdr:colOff>
      <xdr:row>23</xdr:row>
      <xdr:rowOff>9525</xdr:rowOff>
    </xdr:from>
    <xdr:to>
      <xdr:col>56</xdr:col>
      <xdr:colOff>228600</xdr:colOff>
      <xdr:row>45</xdr:row>
      <xdr:rowOff>200025</xdr:rowOff>
    </xdr:to>
    <xdr:sp>
      <xdr:nvSpPr>
        <xdr:cNvPr id="6" name="วงเล็บปีกกาขวา 36"/>
        <xdr:cNvSpPr>
          <a:spLocks/>
        </xdr:cNvSpPr>
      </xdr:nvSpPr>
      <xdr:spPr>
        <a:xfrm>
          <a:off x="0" y="5972175"/>
          <a:ext cx="0" cy="66389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67</xdr:col>
      <xdr:colOff>38100</xdr:colOff>
      <xdr:row>23</xdr:row>
      <xdr:rowOff>9525</xdr:rowOff>
    </xdr:from>
    <xdr:to>
      <xdr:col>67</xdr:col>
      <xdr:colOff>180975</xdr:colOff>
      <xdr:row>47</xdr:row>
      <xdr:rowOff>276225</xdr:rowOff>
    </xdr:to>
    <xdr:sp>
      <xdr:nvSpPr>
        <xdr:cNvPr id="7" name="วงเล็บปีกกาขวา 36"/>
        <xdr:cNvSpPr>
          <a:spLocks/>
        </xdr:cNvSpPr>
      </xdr:nvSpPr>
      <xdr:spPr>
        <a:xfrm>
          <a:off x="0" y="5972175"/>
          <a:ext cx="0" cy="72866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78</xdr:col>
      <xdr:colOff>38100</xdr:colOff>
      <xdr:row>23</xdr:row>
      <xdr:rowOff>9525</xdr:rowOff>
    </xdr:from>
    <xdr:to>
      <xdr:col>78</xdr:col>
      <xdr:colOff>285750</xdr:colOff>
      <xdr:row>49</xdr:row>
      <xdr:rowOff>219075</xdr:rowOff>
    </xdr:to>
    <xdr:sp>
      <xdr:nvSpPr>
        <xdr:cNvPr id="8" name="วงเล็บปีกกาขวา 36"/>
        <xdr:cNvSpPr>
          <a:spLocks/>
        </xdr:cNvSpPr>
      </xdr:nvSpPr>
      <xdr:spPr>
        <a:xfrm>
          <a:off x="0" y="5972175"/>
          <a:ext cx="0" cy="78009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89</xdr:col>
      <xdr:colOff>38100</xdr:colOff>
      <xdr:row>23</xdr:row>
      <xdr:rowOff>9525</xdr:rowOff>
    </xdr:from>
    <xdr:to>
      <xdr:col>89</xdr:col>
      <xdr:colOff>285750</xdr:colOff>
      <xdr:row>49</xdr:row>
      <xdr:rowOff>219075</xdr:rowOff>
    </xdr:to>
    <xdr:sp>
      <xdr:nvSpPr>
        <xdr:cNvPr id="9" name="วงเล็บปีกกาขวา 36"/>
        <xdr:cNvSpPr>
          <a:spLocks/>
        </xdr:cNvSpPr>
      </xdr:nvSpPr>
      <xdr:spPr>
        <a:xfrm>
          <a:off x="0" y="5972175"/>
          <a:ext cx="0" cy="78009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100</xdr:col>
      <xdr:colOff>38100</xdr:colOff>
      <xdr:row>18</xdr:row>
      <xdr:rowOff>209550</xdr:rowOff>
    </xdr:from>
    <xdr:to>
      <xdr:col>100</xdr:col>
      <xdr:colOff>276225</xdr:colOff>
      <xdr:row>48</xdr:row>
      <xdr:rowOff>266700</xdr:rowOff>
    </xdr:to>
    <xdr:sp>
      <xdr:nvSpPr>
        <xdr:cNvPr id="10" name="วงเล็บปีกกาขวา 36"/>
        <xdr:cNvSpPr>
          <a:spLocks/>
        </xdr:cNvSpPr>
      </xdr:nvSpPr>
      <xdr:spPr>
        <a:xfrm>
          <a:off x="0" y="4838700"/>
          <a:ext cx="0" cy="86963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111</xdr:col>
      <xdr:colOff>19050</xdr:colOff>
      <xdr:row>18</xdr:row>
      <xdr:rowOff>161925</xdr:rowOff>
    </xdr:from>
    <xdr:to>
      <xdr:col>111</xdr:col>
      <xdr:colOff>361950</xdr:colOff>
      <xdr:row>48</xdr:row>
      <xdr:rowOff>276225</xdr:rowOff>
    </xdr:to>
    <xdr:sp>
      <xdr:nvSpPr>
        <xdr:cNvPr id="11" name="วงเล็บปีกกาขวา 36"/>
        <xdr:cNvSpPr>
          <a:spLocks/>
        </xdr:cNvSpPr>
      </xdr:nvSpPr>
      <xdr:spPr>
        <a:xfrm>
          <a:off x="3390900" y="4791075"/>
          <a:ext cx="342900" cy="8753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26;&#3606;&#3634;&#3609;&#3632;&#3648;&#3591;&#3636;&#3609;&#3610;&#3635;&#3619;&#3640;&#3591;%20&#3605;.&#3588;.6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26;&#3606;&#3634;&#3609;&#3632;&#3648;&#3591;&#3636;&#3609;&#3610;&#3635;&#3619;&#3640;&#3591;%20&#3614;.&#3588;.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-โปรแกรม61"/>
      <sheetName val="เงินบำรุง 1"/>
      <sheetName val="เงินบำรุง 2"/>
      <sheetName val="รายงานตามแผน ปี 61"/>
      <sheetName val="งบค่าเสื่อม สปสช.60"/>
      <sheetName val="งบค่าเสื่อม สปสช.61"/>
    </sheetNames>
    <sheetDataSet>
      <sheetData sheetId="0">
        <row r="10">
          <cell r="C10">
            <v>4372260.37</v>
          </cell>
          <cell r="E10">
            <v>3217993.46</v>
          </cell>
          <cell r="F10">
            <v>3154701.54</v>
          </cell>
        </row>
        <row r="11">
          <cell r="C11">
            <v>464563.92</v>
          </cell>
        </row>
        <row r="12">
          <cell r="C12">
            <v>10726916.57</v>
          </cell>
          <cell r="E12">
            <v>294740.02</v>
          </cell>
        </row>
        <row r="13">
          <cell r="C13">
            <v>31152681.71</v>
          </cell>
          <cell r="E13">
            <v>4302917.99</v>
          </cell>
          <cell r="F13">
            <v>80791.36</v>
          </cell>
        </row>
        <row r="14">
          <cell r="C14">
            <v>1600176.72</v>
          </cell>
        </row>
        <row r="15">
          <cell r="C15">
            <v>0</v>
          </cell>
          <cell r="E15">
            <v>106492</v>
          </cell>
        </row>
        <row r="17">
          <cell r="C17">
            <v>32126783.23</v>
          </cell>
          <cell r="E17">
            <v>2566145.8</v>
          </cell>
          <cell r="F17">
            <v>4937155.08</v>
          </cell>
        </row>
        <row r="18">
          <cell r="C18">
            <v>63674.92</v>
          </cell>
          <cell r="E18">
            <v>59321.99</v>
          </cell>
        </row>
        <row r="141">
          <cell r="F141">
            <v>0</v>
          </cell>
        </row>
        <row r="189">
          <cell r="D189">
            <v>1120300</v>
          </cell>
          <cell r="E189">
            <v>304700</v>
          </cell>
          <cell r="F189">
            <v>370900</v>
          </cell>
        </row>
        <row r="190">
          <cell r="D190">
            <v>63674.92</v>
          </cell>
          <cell r="F190">
            <v>59321.99</v>
          </cell>
        </row>
        <row r="192">
          <cell r="D192">
            <v>659126.3</v>
          </cell>
        </row>
        <row r="257">
          <cell r="E257">
            <v>1100</v>
          </cell>
          <cell r="F257">
            <v>1631</v>
          </cell>
        </row>
        <row r="270">
          <cell r="F270">
            <v>3000</v>
          </cell>
        </row>
        <row r="277">
          <cell r="F277">
            <v>17640</v>
          </cell>
        </row>
        <row r="366">
          <cell r="E366">
            <v>78263</v>
          </cell>
        </row>
        <row r="367">
          <cell r="E367">
            <v>180978.5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-โปรแกรม62"/>
      <sheetName val="เงินบำรุง 1"/>
      <sheetName val="เงินบำรุง 2"/>
      <sheetName val="รายงานตามแผน ปี 62"/>
      <sheetName val="งบค่าเสื่อม สปสช.60"/>
      <sheetName val="งบค่าเสื่อม สปสช.61"/>
      <sheetName val="งบค่าเสื่อม สปสช.62"/>
    </sheetNames>
    <sheetDataSet>
      <sheetData sheetId="0">
        <row r="194">
          <cell r="BH194">
            <v>0</v>
          </cell>
          <cell r="BI194">
            <v>162000</v>
          </cell>
          <cell r="BJ194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8"/>
  <sheetViews>
    <sheetView tabSelected="1" zoomScale="80" zoomScaleNormal="80" zoomScalePageLayoutView="0" workbookViewId="0" topLeftCell="DG22">
      <selection activeCell="DQ87" sqref="DQ87"/>
    </sheetView>
  </sheetViews>
  <sheetFormatPr defaultColWidth="9.140625" defaultRowHeight="21.75"/>
  <cols>
    <col min="1" max="1" width="50.57421875" style="1" hidden="1" customWidth="1"/>
    <col min="2" max="2" width="18.421875" style="1" hidden="1" customWidth="1"/>
    <col min="3" max="3" width="14.421875" style="1" hidden="1" customWidth="1"/>
    <col min="4" max="4" width="15.7109375" style="1" hidden="1" customWidth="1"/>
    <col min="5" max="5" width="12.7109375" style="21" hidden="1" customWidth="1"/>
    <col min="6" max="6" width="23.57421875" style="1" hidden="1" customWidth="1"/>
    <col min="7" max="7" width="14.00390625" style="1" hidden="1" customWidth="1"/>
    <col min="8" max="8" width="13.421875" style="1" hidden="1" customWidth="1"/>
    <col min="9" max="9" width="10.8515625" style="21" hidden="1" customWidth="1"/>
    <col min="10" max="10" width="14.7109375" style="1" hidden="1" customWidth="1"/>
    <col min="11" max="11" width="15.7109375" style="1" hidden="1" customWidth="1"/>
    <col min="12" max="12" width="50.57421875" style="1" hidden="1" customWidth="1"/>
    <col min="13" max="13" width="18.421875" style="1" hidden="1" customWidth="1"/>
    <col min="14" max="14" width="14.421875" style="1" hidden="1" customWidth="1"/>
    <col min="15" max="15" width="15.7109375" style="1" hidden="1" customWidth="1"/>
    <col min="16" max="16" width="12.7109375" style="21" hidden="1" customWidth="1"/>
    <col min="17" max="17" width="23.57421875" style="1" hidden="1" customWidth="1"/>
    <col min="18" max="18" width="14.00390625" style="1" hidden="1" customWidth="1"/>
    <col min="19" max="19" width="13.421875" style="1" hidden="1" customWidth="1"/>
    <col min="20" max="20" width="10.8515625" style="21" hidden="1" customWidth="1"/>
    <col min="21" max="21" width="14.7109375" style="1" hidden="1" customWidth="1"/>
    <col min="22" max="22" width="15.7109375" style="1" hidden="1" customWidth="1"/>
    <col min="23" max="23" width="50.57421875" style="1" hidden="1" customWidth="1"/>
    <col min="24" max="24" width="18.421875" style="1" hidden="1" customWidth="1"/>
    <col min="25" max="25" width="14.421875" style="1" hidden="1" customWidth="1"/>
    <col min="26" max="26" width="15.7109375" style="1" hidden="1" customWidth="1"/>
    <col min="27" max="27" width="12.7109375" style="21" hidden="1" customWidth="1"/>
    <col min="28" max="28" width="23.57421875" style="1" hidden="1" customWidth="1"/>
    <col min="29" max="29" width="14.00390625" style="1" hidden="1" customWidth="1"/>
    <col min="30" max="30" width="13.421875" style="1" hidden="1" customWidth="1"/>
    <col min="31" max="31" width="10.8515625" style="21" hidden="1" customWidth="1"/>
    <col min="32" max="32" width="14.7109375" style="1" hidden="1" customWidth="1"/>
    <col min="33" max="33" width="15.7109375" style="1" hidden="1" customWidth="1"/>
    <col min="34" max="34" width="50.57421875" style="1" hidden="1" customWidth="1"/>
    <col min="35" max="35" width="18.421875" style="1" hidden="1" customWidth="1"/>
    <col min="36" max="36" width="14.421875" style="1" hidden="1" customWidth="1"/>
    <col min="37" max="37" width="15.7109375" style="1" hidden="1" customWidth="1"/>
    <col min="38" max="38" width="12.7109375" style="21" hidden="1" customWidth="1"/>
    <col min="39" max="39" width="23.57421875" style="1" hidden="1" customWidth="1"/>
    <col min="40" max="40" width="14.00390625" style="1" hidden="1" customWidth="1"/>
    <col min="41" max="41" width="13.421875" style="1" hidden="1" customWidth="1"/>
    <col min="42" max="42" width="10.8515625" style="21" hidden="1" customWidth="1"/>
    <col min="43" max="43" width="14.7109375" style="1" hidden="1" customWidth="1"/>
    <col min="44" max="44" width="15.7109375" style="1" hidden="1" customWidth="1"/>
    <col min="45" max="45" width="50.57421875" style="1" hidden="1" customWidth="1"/>
    <col min="46" max="46" width="18.421875" style="1" hidden="1" customWidth="1"/>
    <col min="47" max="47" width="14.421875" style="1" hidden="1" customWidth="1"/>
    <col min="48" max="48" width="15.7109375" style="1" hidden="1" customWidth="1"/>
    <col min="49" max="49" width="12.7109375" style="21" hidden="1" customWidth="1"/>
    <col min="50" max="50" width="23.57421875" style="1" hidden="1" customWidth="1"/>
    <col min="51" max="51" width="14.00390625" style="1" hidden="1" customWidth="1"/>
    <col min="52" max="52" width="13.421875" style="1" hidden="1" customWidth="1"/>
    <col min="53" max="53" width="10.8515625" style="21" hidden="1" customWidth="1"/>
    <col min="54" max="54" width="14.7109375" style="1" hidden="1" customWidth="1"/>
    <col min="55" max="55" width="15.7109375" style="271" hidden="1" customWidth="1"/>
    <col min="56" max="56" width="50.57421875" style="1" hidden="1" customWidth="1"/>
    <col min="57" max="57" width="18.421875" style="1" hidden="1" customWidth="1"/>
    <col min="58" max="58" width="14.421875" style="1" hidden="1" customWidth="1"/>
    <col min="59" max="59" width="15.7109375" style="1" hidden="1" customWidth="1"/>
    <col min="60" max="60" width="12.7109375" style="21" hidden="1" customWidth="1"/>
    <col min="61" max="61" width="23.57421875" style="1" hidden="1" customWidth="1"/>
    <col min="62" max="62" width="14.00390625" style="1" hidden="1" customWidth="1"/>
    <col min="63" max="63" width="13.421875" style="1" hidden="1" customWidth="1"/>
    <col min="64" max="64" width="10.8515625" style="21" hidden="1" customWidth="1"/>
    <col min="65" max="65" width="14.7109375" style="1" hidden="1" customWidth="1"/>
    <col min="66" max="66" width="15.7109375" style="271" hidden="1" customWidth="1"/>
    <col min="67" max="67" width="50.57421875" style="1" hidden="1" customWidth="1"/>
    <col min="68" max="68" width="18.421875" style="1" hidden="1" customWidth="1"/>
    <col min="69" max="69" width="14.421875" style="1" hidden="1" customWidth="1"/>
    <col min="70" max="70" width="15.7109375" style="1" hidden="1" customWidth="1"/>
    <col min="71" max="71" width="12.7109375" style="21" hidden="1" customWidth="1"/>
    <col min="72" max="72" width="23.57421875" style="1" hidden="1" customWidth="1"/>
    <col min="73" max="73" width="14.00390625" style="1" hidden="1" customWidth="1"/>
    <col min="74" max="74" width="13.421875" style="1" hidden="1" customWidth="1"/>
    <col min="75" max="75" width="10.8515625" style="21" hidden="1" customWidth="1"/>
    <col min="76" max="76" width="14.7109375" style="1" hidden="1" customWidth="1"/>
    <col min="77" max="77" width="15.7109375" style="271" hidden="1" customWidth="1"/>
    <col min="78" max="78" width="50.57421875" style="1" hidden="1" customWidth="1"/>
    <col min="79" max="79" width="18.421875" style="1" hidden="1" customWidth="1"/>
    <col min="80" max="80" width="14.421875" style="1" hidden="1" customWidth="1"/>
    <col min="81" max="81" width="15.7109375" style="1" hidden="1" customWidth="1"/>
    <col min="82" max="82" width="12.7109375" style="21" hidden="1" customWidth="1"/>
    <col min="83" max="83" width="23.57421875" style="1" hidden="1" customWidth="1"/>
    <col min="84" max="84" width="14.00390625" style="1" hidden="1" customWidth="1"/>
    <col min="85" max="85" width="13.421875" style="1" hidden="1" customWidth="1"/>
    <col min="86" max="86" width="10.8515625" style="21" hidden="1" customWidth="1"/>
    <col min="87" max="87" width="14.7109375" style="1" hidden="1" customWidth="1"/>
    <col min="88" max="88" width="15.7109375" style="271" hidden="1" customWidth="1"/>
    <col min="89" max="89" width="50.57421875" style="1" hidden="1" customWidth="1"/>
    <col min="90" max="90" width="18.421875" style="1" hidden="1" customWidth="1"/>
    <col min="91" max="91" width="14.421875" style="1" hidden="1" customWidth="1"/>
    <col min="92" max="92" width="15.7109375" style="1" hidden="1" customWidth="1"/>
    <col min="93" max="93" width="12.7109375" style="21" hidden="1" customWidth="1"/>
    <col min="94" max="94" width="23.57421875" style="1" hidden="1" customWidth="1"/>
    <col min="95" max="95" width="14.00390625" style="1" hidden="1" customWidth="1"/>
    <col min="96" max="96" width="13.421875" style="1" hidden="1" customWidth="1"/>
    <col min="97" max="97" width="10.8515625" style="21" hidden="1" customWidth="1"/>
    <col min="98" max="98" width="14.7109375" style="1" hidden="1" customWidth="1"/>
    <col min="99" max="99" width="15.7109375" style="271" hidden="1" customWidth="1"/>
    <col min="100" max="100" width="50.57421875" style="1" hidden="1" customWidth="1"/>
    <col min="101" max="101" width="18.421875" style="1" hidden="1" customWidth="1"/>
    <col min="102" max="102" width="14.421875" style="1" hidden="1" customWidth="1"/>
    <col min="103" max="103" width="15.7109375" style="1" hidden="1" customWidth="1"/>
    <col min="104" max="104" width="12.7109375" style="21" hidden="1" customWidth="1"/>
    <col min="105" max="105" width="23.57421875" style="1" hidden="1" customWidth="1"/>
    <col min="106" max="106" width="14.00390625" style="1" hidden="1" customWidth="1"/>
    <col min="107" max="107" width="13.421875" style="1" hidden="1" customWidth="1"/>
    <col min="108" max="108" width="10.8515625" style="21" hidden="1" customWidth="1"/>
    <col min="109" max="109" width="14.7109375" style="1" hidden="1" customWidth="1"/>
    <col min="110" max="110" width="15.7109375" style="271" hidden="1" customWidth="1"/>
    <col min="111" max="111" width="50.57421875" style="1" customWidth="1"/>
    <col min="112" max="112" width="18.421875" style="1" customWidth="1"/>
    <col min="113" max="113" width="14.421875" style="35" customWidth="1"/>
    <col min="114" max="114" width="15.7109375" style="1" customWidth="1"/>
    <col min="115" max="115" width="12.7109375" style="21" customWidth="1"/>
    <col min="116" max="116" width="23.57421875" style="1" customWidth="1"/>
    <col min="117" max="117" width="14.00390625" style="1" customWidth="1"/>
    <col min="118" max="118" width="13.421875" style="1" customWidth="1"/>
    <col min="119" max="119" width="10.8515625" style="21" customWidth="1"/>
    <col min="120" max="120" width="14.7109375" style="1" customWidth="1"/>
    <col min="121" max="121" width="15.7109375" style="271" customWidth="1"/>
    <col min="122" max="16384" width="9.140625" style="1" customWidth="1"/>
  </cols>
  <sheetData>
    <row r="1" spans="1:121" s="21" customFormat="1" ht="2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 t="s">
        <v>0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 t="s">
        <v>0</v>
      </c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 t="s">
        <v>0</v>
      </c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 t="s">
        <v>0</v>
      </c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 t="s">
        <v>0</v>
      </c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 t="s">
        <v>0</v>
      </c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 t="s">
        <v>0</v>
      </c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 t="s">
        <v>0</v>
      </c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 t="s">
        <v>0</v>
      </c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 t="s">
        <v>0</v>
      </c>
      <c r="DH1" s="320"/>
      <c r="DI1" s="320"/>
      <c r="DJ1" s="320"/>
      <c r="DK1" s="320"/>
      <c r="DL1" s="320"/>
      <c r="DM1" s="320"/>
      <c r="DN1" s="320"/>
      <c r="DO1" s="320"/>
      <c r="DP1" s="320"/>
      <c r="DQ1" s="320"/>
    </row>
    <row r="2" spans="1:121" s="21" customFormat="1" ht="21">
      <c r="A2" s="320" t="s">
        <v>95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 t="s">
        <v>95</v>
      </c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 t="s">
        <v>95</v>
      </c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 t="s">
        <v>95</v>
      </c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 t="s">
        <v>95</v>
      </c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 t="s">
        <v>95</v>
      </c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 t="s">
        <v>95</v>
      </c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 t="s">
        <v>95</v>
      </c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 t="s">
        <v>95</v>
      </c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 t="s">
        <v>95</v>
      </c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 t="s">
        <v>95</v>
      </c>
      <c r="DH2" s="320"/>
      <c r="DI2" s="320"/>
      <c r="DJ2" s="320"/>
      <c r="DK2" s="320"/>
      <c r="DL2" s="320"/>
      <c r="DM2" s="320"/>
      <c r="DN2" s="320"/>
      <c r="DO2" s="320"/>
      <c r="DP2" s="320"/>
      <c r="DQ2" s="320"/>
    </row>
    <row r="3" spans="1:121" s="21" customFormat="1" ht="21">
      <c r="A3" s="321" t="s">
        <v>141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 t="s">
        <v>156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 t="s">
        <v>163</v>
      </c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 t="s">
        <v>168</v>
      </c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 t="s">
        <v>173</v>
      </c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 t="s">
        <v>178</v>
      </c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 t="s">
        <v>184</v>
      </c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 t="s">
        <v>190</v>
      </c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 t="s">
        <v>199</v>
      </c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 t="s">
        <v>204</v>
      </c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 t="s">
        <v>208</v>
      </c>
      <c r="DH3" s="321"/>
      <c r="DI3" s="321"/>
      <c r="DJ3" s="321"/>
      <c r="DK3" s="321"/>
      <c r="DL3" s="321"/>
      <c r="DM3" s="321"/>
      <c r="DN3" s="321"/>
      <c r="DO3" s="321"/>
      <c r="DP3" s="321"/>
      <c r="DQ3" s="321"/>
    </row>
    <row r="4" spans="1:121" s="21" customFormat="1" ht="5.2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59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59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59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59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59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59"/>
      <c r="DG4" s="22"/>
      <c r="DH4" s="22"/>
      <c r="DI4" s="284"/>
      <c r="DJ4" s="22"/>
      <c r="DK4" s="22"/>
      <c r="DL4" s="22"/>
      <c r="DM4" s="22"/>
      <c r="DN4" s="22"/>
      <c r="DO4" s="22"/>
      <c r="DP4" s="22"/>
      <c r="DQ4" s="259"/>
    </row>
    <row r="5" spans="1:121" s="21" customFormat="1" ht="21.75" thickTop="1">
      <c r="A5" s="76"/>
      <c r="B5" s="302" t="s">
        <v>1</v>
      </c>
      <c r="C5" s="303"/>
      <c r="D5" s="304"/>
      <c r="E5" s="74" t="s">
        <v>45</v>
      </c>
      <c r="F5" s="305" t="s">
        <v>96</v>
      </c>
      <c r="G5" s="306"/>
      <c r="H5" s="307"/>
      <c r="I5" s="160" t="s">
        <v>45</v>
      </c>
      <c r="J5" s="302" t="s">
        <v>7</v>
      </c>
      <c r="K5" s="304"/>
      <c r="L5" s="76"/>
      <c r="M5" s="302" t="s">
        <v>1</v>
      </c>
      <c r="N5" s="303"/>
      <c r="O5" s="304"/>
      <c r="P5" s="74" t="s">
        <v>45</v>
      </c>
      <c r="Q5" s="305" t="s">
        <v>96</v>
      </c>
      <c r="R5" s="306"/>
      <c r="S5" s="307"/>
      <c r="T5" s="160" t="s">
        <v>45</v>
      </c>
      <c r="U5" s="302" t="s">
        <v>7</v>
      </c>
      <c r="V5" s="304"/>
      <c r="W5" s="76"/>
      <c r="X5" s="302" t="s">
        <v>1</v>
      </c>
      <c r="Y5" s="303"/>
      <c r="Z5" s="304"/>
      <c r="AA5" s="74" t="s">
        <v>45</v>
      </c>
      <c r="AB5" s="305" t="s">
        <v>96</v>
      </c>
      <c r="AC5" s="306"/>
      <c r="AD5" s="307"/>
      <c r="AE5" s="160" t="s">
        <v>45</v>
      </c>
      <c r="AF5" s="302" t="s">
        <v>7</v>
      </c>
      <c r="AG5" s="304"/>
      <c r="AH5" s="76"/>
      <c r="AI5" s="302" t="s">
        <v>1</v>
      </c>
      <c r="AJ5" s="303"/>
      <c r="AK5" s="304"/>
      <c r="AL5" s="74" t="s">
        <v>45</v>
      </c>
      <c r="AM5" s="305" t="s">
        <v>96</v>
      </c>
      <c r="AN5" s="306"/>
      <c r="AO5" s="307"/>
      <c r="AP5" s="160" t="s">
        <v>45</v>
      </c>
      <c r="AQ5" s="302" t="s">
        <v>7</v>
      </c>
      <c r="AR5" s="304"/>
      <c r="AS5" s="76"/>
      <c r="AT5" s="302" t="s">
        <v>1</v>
      </c>
      <c r="AU5" s="303"/>
      <c r="AV5" s="304"/>
      <c r="AW5" s="74" t="s">
        <v>45</v>
      </c>
      <c r="AX5" s="305" t="s">
        <v>96</v>
      </c>
      <c r="AY5" s="306"/>
      <c r="AZ5" s="307"/>
      <c r="BA5" s="160" t="s">
        <v>45</v>
      </c>
      <c r="BB5" s="302" t="s">
        <v>7</v>
      </c>
      <c r="BC5" s="304"/>
      <c r="BD5" s="76"/>
      <c r="BE5" s="302" t="s">
        <v>1</v>
      </c>
      <c r="BF5" s="303"/>
      <c r="BG5" s="304"/>
      <c r="BH5" s="74" t="s">
        <v>45</v>
      </c>
      <c r="BI5" s="305" t="s">
        <v>96</v>
      </c>
      <c r="BJ5" s="306"/>
      <c r="BK5" s="307"/>
      <c r="BL5" s="160" t="s">
        <v>45</v>
      </c>
      <c r="BM5" s="302" t="s">
        <v>7</v>
      </c>
      <c r="BN5" s="304"/>
      <c r="BO5" s="76"/>
      <c r="BP5" s="302" t="s">
        <v>1</v>
      </c>
      <c r="BQ5" s="303"/>
      <c r="BR5" s="304"/>
      <c r="BS5" s="74" t="s">
        <v>45</v>
      </c>
      <c r="BT5" s="305" t="s">
        <v>96</v>
      </c>
      <c r="BU5" s="306"/>
      <c r="BV5" s="307"/>
      <c r="BW5" s="160" t="s">
        <v>45</v>
      </c>
      <c r="BX5" s="302" t="s">
        <v>7</v>
      </c>
      <c r="BY5" s="304"/>
      <c r="BZ5" s="76"/>
      <c r="CA5" s="302" t="s">
        <v>1</v>
      </c>
      <c r="CB5" s="303"/>
      <c r="CC5" s="304"/>
      <c r="CD5" s="74" t="s">
        <v>45</v>
      </c>
      <c r="CE5" s="305" t="s">
        <v>96</v>
      </c>
      <c r="CF5" s="306"/>
      <c r="CG5" s="307"/>
      <c r="CH5" s="160" t="s">
        <v>45</v>
      </c>
      <c r="CI5" s="302" t="s">
        <v>7</v>
      </c>
      <c r="CJ5" s="304"/>
      <c r="CK5" s="76"/>
      <c r="CL5" s="302" t="s">
        <v>1</v>
      </c>
      <c r="CM5" s="303"/>
      <c r="CN5" s="304"/>
      <c r="CO5" s="74" t="s">
        <v>45</v>
      </c>
      <c r="CP5" s="305" t="s">
        <v>96</v>
      </c>
      <c r="CQ5" s="306"/>
      <c r="CR5" s="307"/>
      <c r="CS5" s="160" t="s">
        <v>45</v>
      </c>
      <c r="CT5" s="302" t="s">
        <v>7</v>
      </c>
      <c r="CU5" s="304"/>
      <c r="CV5" s="76"/>
      <c r="CW5" s="302" t="s">
        <v>1</v>
      </c>
      <c r="CX5" s="303"/>
      <c r="CY5" s="304"/>
      <c r="CZ5" s="74" t="s">
        <v>45</v>
      </c>
      <c r="DA5" s="305" t="s">
        <v>96</v>
      </c>
      <c r="DB5" s="306"/>
      <c r="DC5" s="307"/>
      <c r="DD5" s="160" t="s">
        <v>45</v>
      </c>
      <c r="DE5" s="302" t="s">
        <v>7</v>
      </c>
      <c r="DF5" s="304"/>
      <c r="DG5" s="76"/>
      <c r="DH5" s="302" t="s">
        <v>1</v>
      </c>
      <c r="DI5" s="303"/>
      <c r="DJ5" s="304"/>
      <c r="DK5" s="74" t="s">
        <v>45</v>
      </c>
      <c r="DL5" s="305" t="s">
        <v>96</v>
      </c>
      <c r="DM5" s="306"/>
      <c r="DN5" s="307"/>
      <c r="DO5" s="160" t="s">
        <v>45</v>
      </c>
      <c r="DP5" s="302" t="s">
        <v>7</v>
      </c>
      <c r="DQ5" s="304"/>
    </row>
    <row r="6" spans="1:121" s="21" customFormat="1" ht="21">
      <c r="A6" s="25" t="s">
        <v>2</v>
      </c>
      <c r="B6" s="77" t="s">
        <v>71</v>
      </c>
      <c r="C6" s="322" t="s">
        <v>8</v>
      </c>
      <c r="D6" s="310" t="s">
        <v>9</v>
      </c>
      <c r="E6" s="44" t="s">
        <v>118</v>
      </c>
      <c r="F6" s="161" t="s">
        <v>71</v>
      </c>
      <c r="G6" s="312" t="s">
        <v>8</v>
      </c>
      <c r="H6" s="314" t="s">
        <v>9</v>
      </c>
      <c r="I6" s="162" t="s">
        <v>118</v>
      </c>
      <c r="J6" s="316" t="s">
        <v>8</v>
      </c>
      <c r="K6" s="310" t="s">
        <v>9</v>
      </c>
      <c r="L6" s="25" t="s">
        <v>2</v>
      </c>
      <c r="M6" s="77" t="s">
        <v>71</v>
      </c>
      <c r="N6" s="322" t="s">
        <v>8</v>
      </c>
      <c r="O6" s="310" t="s">
        <v>9</v>
      </c>
      <c r="P6" s="44" t="s">
        <v>118</v>
      </c>
      <c r="Q6" s="161" t="s">
        <v>71</v>
      </c>
      <c r="R6" s="312" t="s">
        <v>8</v>
      </c>
      <c r="S6" s="314" t="s">
        <v>9</v>
      </c>
      <c r="T6" s="162" t="s">
        <v>118</v>
      </c>
      <c r="U6" s="316" t="s">
        <v>8</v>
      </c>
      <c r="V6" s="310" t="s">
        <v>9</v>
      </c>
      <c r="W6" s="25" t="s">
        <v>2</v>
      </c>
      <c r="X6" s="77" t="s">
        <v>71</v>
      </c>
      <c r="Y6" s="322" t="s">
        <v>8</v>
      </c>
      <c r="Z6" s="310" t="s">
        <v>9</v>
      </c>
      <c r="AA6" s="44" t="s">
        <v>118</v>
      </c>
      <c r="AB6" s="161" t="s">
        <v>71</v>
      </c>
      <c r="AC6" s="312" t="s">
        <v>8</v>
      </c>
      <c r="AD6" s="314" t="s">
        <v>9</v>
      </c>
      <c r="AE6" s="162" t="s">
        <v>118</v>
      </c>
      <c r="AF6" s="316" t="s">
        <v>8</v>
      </c>
      <c r="AG6" s="310" t="s">
        <v>9</v>
      </c>
      <c r="AH6" s="25" t="s">
        <v>2</v>
      </c>
      <c r="AI6" s="77" t="s">
        <v>71</v>
      </c>
      <c r="AJ6" s="322" t="s">
        <v>8</v>
      </c>
      <c r="AK6" s="310" t="s">
        <v>9</v>
      </c>
      <c r="AL6" s="44" t="s">
        <v>118</v>
      </c>
      <c r="AM6" s="161" t="s">
        <v>71</v>
      </c>
      <c r="AN6" s="312" t="s">
        <v>8</v>
      </c>
      <c r="AO6" s="314" t="s">
        <v>9</v>
      </c>
      <c r="AP6" s="162" t="s">
        <v>118</v>
      </c>
      <c r="AQ6" s="316" t="s">
        <v>8</v>
      </c>
      <c r="AR6" s="310" t="s">
        <v>9</v>
      </c>
      <c r="AS6" s="25" t="s">
        <v>2</v>
      </c>
      <c r="AT6" s="77" t="s">
        <v>71</v>
      </c>
      <c r="AU6" s="322" t="s">
        <v>8</v>
      </c>
      <c r="AV6" s="310" t="s">
        <v>9</v>
      </c>
      <c r="AW6" s="44" t="s">
        <v>118</v>
      </c>
      <c r="AX6" s="161" t="s">
        <v>71</v>
      </c>
      <c r="AY6" s="312" t="s">
        <v>8</v>
      </c>
      <c r="AZ6" s="314" t="s">
        <v>9</v>
      </c>
      <c r="BA6" s="162" t="s">
        <v>118</v>
      </c>
      <c r="BB6" s="316" t="s">
        <v>8</v>
      </c>
      <c r="BC6" s="318" t="s">
        <v>9</v>
      </c>
      <c r="BD6" s="25" t="s">
        <v>2</v>
      </c>
      <c r="BE6" s="77" t="s">
        <v>71</v>
      </c>
      <c r="BF6" s="322" t="s">
        <v>8</v>
      </c>
      <c r="BG6" s="310" t="s">
        <v>9</v>
      </c>
      <c r="BH6" s="44" t="s">
        <v>118</v>
      </c>
      <c r="BI6" s="161" t="s">
        <v>71</v>
      </c>
      <c r="BJ6" s="312" t="s">
        <v>8</v>
      </c>
      <c r="BK6" s="314" t="s">
        <v>9</v>
      </c>
      <c r="BL6" s="162" t="s">
        <v>118</v>
      </c>
      <c r="BM6" s="316" t="s">
        <v>8</v>
      </c>
      <c r="BN6" s="318" t="s">
        <v>9</v>
      </c>
      <c r="BO6" s="25" t="s">
        <v>2</v>
      </c>
      <c r="BP6" s="77" t="s">
        <v>71</v>
      </c>
      <c r="BQ6" s="322" t="s">
        <v>8</v>
      </c>
      <c r="BR6" s="310" t="s">
        <v>9</v>
      </c>
      <c r="BS6" s="44" t="s">
        <v>118</v>
      </c>
      <c r="BT6" s="161" t="s">
        <v>71</v>
      </c>
      <c r="BU6" s="312" t="s">
        <v>8</v>
      </c>
      <c r="BV6" s="314" t="s">
        <v>9</v>
      </c>
      <c r="BW6" s="162" t="s">
        <v>118</v>
      </c>
      <c r="BX6" s="316" t="s">
        <v>8</v>
      </c>
      <c r="BY6" s="318" t="s">
        <v>9</v>
      </c>
      <c r="BZ6" s="25" t="s">
        <v>2</v>
      </c>
      <c r="CA6" s="77" t="s">
        <v>71</v>
      </c>
      <c r="CB6" s="322" t="s">
        <v>8</v>
      </c>
      <c r="CC6" s="310" t="s">
        <v>9</v>
      </c>
      <c r="CD6" s="44" t="s">
        <v>118</v>
      </c>
      <c r="CE6" s="161" t="s">
        <v>71</v>
      </c>
      <c r="CF6" s="312" t="s">
        <v>8</v>
      </c>
      <c r="CG6" s="314" t="s">
        <v>9</v>
      </c>
      <c r="CH6" s="162" t="s">
        <v>118</v>
      </c>
      <c r="CI6" s="316" t="s">
        <v>8</v>
      </c>
      <c r="CJ6" s="318" t="s">
        <v>9</v>
      </c>
      <c r="CK6" s="25" t="s">
        <v>2</v>
      </c>
      <c r="CL6" s="77" t="s">
        <v>71</v>
      </c>
      <c r="CM6" s="322" t="s">
        <v>8</v>
      </c>
      <c r="CN6" s="310" t="s">
        <v>9</v>
      </c>
      <c r="CO6" s="44" t="s">
        <v>118</v>
      </c>
      <c r="CP6" s="161" t="s">
        <v>71</v>
      </c>
      <c r="CQ6" s="312" t="s">
        <v>8</v>
      </c>
      <c r="CR6" s="314" t="s">
        <v>9</v>
      </c>
      <c r="CS6" s="162" t="s">
        <v>118</v>
      </c>
      <c r="CT6" s="316" t="s">
        <v>8</v>
      </c>
      <c r="CU6" s="318" t="s">
        <v>9</v>
      </c>
      <c r="CV6" s="25" t="s">
        <v>2</v>
      </c>
      <c r="CW6" s="77" t="s">
        <v>71</v>
      </c>
      <c r="CX6" s="322" t="s">
        <v>8</v>
      </c>
      <c r="CY6" s="310" t="s">
        <v>9</v>
      </c>
      <c r="CZ6" s="44" t="s">
        <v>118</v>
      </c>
      <c r="DA6" s="161" t="s">
        <v>71</v>
      </c>
      <c r="DB6" s="312" t="s">
        <v>8</v>
      </c>
      <c r="DC6" s="314" t="s">
        <v>9</v>
      </c>
      <c r="DD6" s="162" t="s">
        <v>118</v>
      </c>
      <c r="DE6" s="316" t="s">
        <v>8</v>
      </c>
      <c r="DF6" s="318" t="s">
        <v>9</v>
      </c>
      <c r="DG6" s="25" t="s">
        <v>2</v>
      </c>
      <c r="DH6" s="77" t="s">
        <v>71</v>
      </c>
      <c r="DI6" s="308" t="s">
        <v>8</v>
      </c>
      <c r="DJ6" s="310" t="s">
        <v>9</v>
      </c>
      <c r="DK6" s="44" t="s">
        <v>118</v>
      </c>
      <c r="DL6" s="161" t="s">
        <v>71</v>
      </c>
      <c r="DM6" s="312" t="s">
        <v>8</v>
      </c>
      <c r="DN6" s="314" t="s">
        <v>9</v>
      </c>
      <c r="DO6" s="162" t="s">
        <v>118</v>
      </c>
      <c r="DP6" s="316" t="s">
        <v>8</v>
      </c>
      <c r="DQ6" s="318" t="s">
        <v>9</v>
      </c>
    </row>
    <row r="7" spans="1:121" s="21" customFormat="1" ht="21">
      <c r="A7" s="25"/>
      <c r="B7" s="78" t="s">
        <v>142</v>
      </c>
      <c r="C7" s="323"/>
      <c r="D7" s="311"/>
      <c r="E7" s="43" t="s">
        <v>114</v>
      </c>
      <c r="F7" s="163" t="s">
        <v>145</v>
      </c>
      <c r="G7" s="313"/>
      <c r="H7" s="315"/>
      <c r="I7" s="162" t="s">
        <v>90</v>
      </c>
      <c r="J7" s="317"/>
      <c r="K7" s="311"/>
      <c r="L7" s="25"/>
      <c r="M7" s="78" t="s">
        <v>142</v>
      </c>
      <c r="N7" s="323"/>
      <c r="O7" s="311"/>
      <c r="P7" s="43" t="s">
        <v>114</v>
      </c>
      <c r="Q7" s="163" t="s">
        <v>145</v>
      </c>
      <c r="R7" s="313"/>
      <c r="S7" s="315"/>
      <c r="T7" s="162" t="s">
        <v>90</v>
      </c>
      <c r="U7" s="317"/>
      <c r="V7" s="311"/>
      <c r="W7" s="25"/>
      <c r="X7" s="78" t="s">
        <v>142</v>
      </c>
      <c r="Y7" s="323"/>
      <c r="Z7" s="311"/>
      <c r="AA7" s="43" t="s">
        <v>114</v>
      </c>
      <c r="AB7" s="163" t="s">
        <v>145</v>
      </c>
      <c r="AC7" s="313"/>
      <c r="AD7" s="315"/>
      <c r="AE7" s="162" t="s">
        <v>90</v>
      </c>
      <c r="AF7" s="317"/>
      <c r="AG7" s="311"/>
      <c r="AH7" s="25"/>
      <c r="AI7" s="78" t="s">
        <v>142</v>
      </c>
      <c r="AJ7" s="323"/>
      <c r="AK7" s="311"/>
      <c r="AL7" s="43" t="s">
        <v>114</v>
      </c>
      <c r="AM7" s="163" t="s">
        <v>145</v>
      </c>
      <c r="AN7" s="313"/>
      <c r="AO7" s="315"/>
      <c r="AP7" s="162" t="s">
        <v>90</v>
      </c>
      <c r="AQ7" s="317"/>
      <c r="AR7" s="311"/>
      <c r="AS7" s="25"/>
      <c r="AT7" s="78" t="s">
        <v>142</v>
      </c>
      <c r="AU7" s="323"/>
      <c r="AV7" s="311"/>
      <c r="AW7" s="43" t="s">
        <v>114</v>
      </c>
      <c r="AX7" s="163" t="s">
        <v>145</v>
      </c>
      <c r="AY7" s="313"/>
      <c r="AZ7" s="315"/>
      <c r="BA7" s="162" t="s">
        <v>90</v>
      </c>
      <c r="BB7" s="317"/>
      <c r="BC7" s="319"/>
      <c r="BD7" s="25"/>
      <c r="BE7" s="78" t="s">
        <v>142</v>
      </c>
      <c r="BF7" s="323"/>
      <c r="BG7" s="311"/>
      <c r="BH7" s="43" t="s">
        <v>114</v>
      </c>
      <c r="BI7" s="163" t="s">
        <v>145</v>
      </c>
      <c r="BJ7" s="313"/>
      <c r="BK7" s="315"/>
      <c r="BL7" s="162" t="s">
        <v>90</v>
      </c>
      <c r="BM7" s="317"/>
      <c r="BN7" s="319"/>
      <c r="BO7" s="25"/>
      <c r="BP7" s="78" t="s">
        <v>142</v>
      </c>
      <c r="BQ7" s="323"/>
      <c r="BR7" s="311"/>
      <c r="BS7" s="43" t="s">
        <v>114</v>
      </c>
      <c r="BT7" s="163" t="s">
        <v>145</v>
      </c>
      <c r="BU7" s="313"/>
      <c r="BV7" s="315"/>
      <c r="BW7" s="162" t="s">
        <v>90</v>
      </c>
      <c r="BX7" s="317"/>
      <c r="BY7" s="319"/>
      <c r="BZ7" s="25"/>
      <c r="CA7" s="78" t="s">
        <v>142</v>
      </c>
      <c r="CB7" s="323"/>
      <c r="CC7" s="311"/>
      <c r="CD7" s="43" t="s">
        <v>114</v>
      </c>
      <c r="CE7" s="163" t="s">
        <v>145</v>
      </c>
      <c r="CF7" s="313"/>
      <c r="CG7" s="315"/>
      <c r="CH7" s="162" t="s">
        <v>90</v>
      </c>
      <c r="CI7" s="317"/>
      <c r="CJ7" s="319"/>
      <c r="CK7" s="25"/>
      <c r="CL7" s="78" t="s">
        <v>142</v>
      </c>
      <c r="CM7" s="323"/>
      <c r="CN7" s="311"/>
      <c r="CO7" s="43" t="s">
        <v>114</v>
      </c>
      <c r="CP7" s="163" t="s">
        <v>145</v>
      </c>
      <c r="CQ7" s="313"/>
      <c r="CR7" s="315"/>
      <c r="CS7" s="162" t="s">
        <v>90</v>
      </c>
      <c r="CT7" s="317"/>
      <c r="CU7" s="319"/>
      <c r="CV7" s="25"/>
      <c r="CW7" s="78" t="s">
        <v>142</v>
      </c>
      <c r="CX7" s="323"/>
      <c r="CY7" s="311"/>
      <c r="CZ7" s="43" t="s">
        <v>114</v>
      </c>
      <c r="DA7" s="163" t="s">
        <v>145</v>
      </c>
      <c r="DB7" s="313"/>
      <c r="DC7" s="315"/>
      <c r="DD7" s="162" t="s">
        <v>90</v>
      </c>
      <c r="DE7" s="317"/>
      <c r="DF7" s="319"/>
      <c r="DG7" s="25"/>
      <c r="DH7" s="78" t="s">
        <v>142</v>
      </c>
      <c r="DI7" s="309"/>
      <c r="DJ7" s="311"/>
      <c r="DK7" s="43" t="s">
        <v>114</v>
      </c>
      <c r="DL7" s="163" t="s">
        <v>145</v>
      </c>
      <c r="DM7" s="313"/>
      <c r="DN7" s="315"/>
      <c r="DO7" s="162" t="s">
        <v>90</v>
      </c>
      <c r="DP7" s="317"/>
      <c r="DQ7" s="319"/>
    </row>
    <row r="8" spans="1:121" s="21" customFormat="1" ht="21.75" thickBot="1">
      <c r="A8" s="27"/>
      <c r="B8" s="79" t="s">
        <v>72</v>
      </c>
      <c r="C8" s="87" t="s">
        <v>72</v>
      </c>
      <c r="D8" s="83" t="s">
        <v>72</v>
      </c>
      <c r="E8" s="27"/>
      <c r="F8" s="164" t="s">
        <v>72</v>
      </c>
      <c r="G8" s="165" t="s">
        <v>72</v>
      </c>
      <c r="H8" s="166" t="s">
        <v>72</v>
      </c>
      <c r="I8" s="167"/>
      <c r="J8" s="112" t="s">
        <v>72</v>
      </c>
      <c r="K8" s="83" t="s">
        <v>72</v>
      </c>
      <c r="L8" s="27"/>
      <c r="M8" s="79" t="s">
        <v>72</v>
      </c>
      <c r="N8" s="87" t="s">
        <v>72</v>
      </c>
      <c r="O8" s="83" t="s">
        <v>72</v>
      </c>
      <c r="P8" s="27"/>
      <c r="Q8" s="164" t="s">
        <v>72</v>
      </c>
      <c r="R8" s="165" t="s">
        <v>72</v>
      </c>
      <c r="S8" s="166" t="s">
        <v>72</v>
      </c>
      <c r="T8" s="167"/>
      <c r="U8" s="112" t="s">
        <v>72</v>
      </c>
      <c r="V8" s="83" t="s">
        <v>72</v>
      </c>
      <c r="W8" s="27"/>
      <c r="X8" s="79" t="s">
        <v>72</v>
      </c>
      <c r="Y8" s="87" t="s">
        <v>72</v>
      </c>
      <c r="Z8" s="83" t="s">
        <v>72</v>
      </c>
      <c r="AA8" s="27"/>
      <c r="AB8" s="164" t="s">
        <v>72</v>
      </c>
      <c r="AC8" s="165" t="s">
        <v>72</v>
      </c>
      <c r="AD8" s="166" t="s">
        <v>72</v>
      </c>
      <c r="AE8" s="167"/>
      <c r="AF8" s="112" t="s">
        <v>72</v>
      </c>
      <c r="AG8" s="83" t="s">
        <v>72</v>
      </c>
      <c r="AH8" s="27"/>
      <c r="AI8" s="79" t="s">
        <v>72</v>
      </c>
      <c r="AJ8" s="87" t="s">
        <v>72</v>
      </c>
      <c r="AK8" s="83" t="s">
        <v>72</v>
      </c>
      <c r="AL8" s="27"/>
      <c r="AM8" s="164" t="s">
        <v>72</v>
      </c>
      <c r="AN8" s="165" t="s">
        <v>72</v>
      </c>
      <c r="AO8" s="166" t="s">
        <v>72</v>
      </c>
      <c r="AP8" s="167"/>
      <c r="AQ8" s="112" t="s">
        <v>72</v>
      </c>
      <c r="AR8" s="83" t="s">
        <v>72</v>
      </c>
      <c r="AS8" s="27"/>
      <c r="AT8" s="79" t="s">
        <v>72</v>
      </c>
      <c r="AU8" s="87" t="s">
        <v>72</v>
      </c>
      <c r="AV8" s="83" t="s">
        <v>72</v>
      </c>
      <c r="AW8" s="27"/>
      <c r="AX8" s="164" t="s">
        <v>72</v>
      </c>
      <c r="AY8" s="165" t="s">
        <v>72</v>
      </c>
      <c r="AZ8" s="166" t="s">
        <v>72</v>
      </c>
      <c r="BA8" s="167"/>
      <c r="BB8" s="112" t="s">
        <v>72</v>
      </c>
      <c r="BC8" s="260" t="s">
        <v>72</v>
      </c>
      <c r="BD8" s="27"/>
      <c r="BE8" s="79" t="s">
        <v>72</v>
      </c>
      <c r="BF8" s="87" t="s">
        <v>72</v>
      </c>
      <c r="BG8" s="83" t="s">
        <v>72</v>
      </c>
      <c r="BH8" s="27"/>
      <c r="BI8" s="164" t="s">
        <v>72</v>
      </c>
      <c r="BJ8" s="165" t="s">
        <v>72</v>
      </c>
      <c r="BK8" s="166" t="s">
        <v>72</v>
      </c>
      <c r="BL8" s="167"/>
      <c r="BM8" s="112" t="s">
        <v>72</v>
      </c>
      <c r="BN8" s="260" t="s">
        <v>72</v>
      </c>
      <c r="BO8" s="27"/>
      <c r="BP8" s="79" t="s">
        <v>72</v>
      </c>
      <c r="BQ8" s="87" t="s">
        <v>72</v>
      </c>
      <c r="BR8" s="83" t="s">
        <v>72</v>
      </c>
      <c r="BS8" s="27"/>
      <c r="BT8" s="164" t="s">
        <v>72</v>
      </c>
      <c r="BU8" s="165" t="s">
        <v>72</v>
      </c>
      <c r="BV8" s="166" t="s">
        <v>72</v>
      </c>
      <c r="BW8" s="167"/>
      <c r="BX8" s="112" t="s">
        <v>72</v>
      </c>
      <c r="BY8" s="260" t="s">
        <v>72</v>
      </c>
      <c r="BZ8" s="27"/>
      <c r="CA8" s="79" t="s">
        <v>72</v>
      </c>
      <c r="CB8" s="87" t="s">
        <v>72</v>
      </c>
      <c r="CC8" s="83" t="s">
        <v>72</v>
      </c>
      <c r="CD8" s="27"/>
      <c r="CE8" s="164" t="s">
        <v>72</v>
      </c>
      <c r="CF8" s="165" t="s">
        <v>72</v>
      </c>
      <c r="CG8" s="166" t="s">
        <v>72</v>
      </c>
      <c r="CH8" s="167"/>
      <c r="CI8" s="112" t="s">
        <v>72</v>
      </c>
      <c r="CJ8" s="260" t="s">
        <v>72</v>
      </c>
      <c r="CK8" s="27"/>
      <c r="CL8" s="79" t="s">
        <v>72</v>
      </c>
      <c r="CM8" s="87" t="s">
        <v>72</v>
      </c>
      <c r="CN8" s="83" t="s">
        <v>72</v>
      </c>
      <c r="CO8" s="27"/>
      <c r="CP8" s="164" t="s">
        <v>72</v>
      </c>
      <c r="CQ8" s="165" t="s">
        <v>72</v>
      </c>
      <c r="CR8" s="166" t="s">
        <v>72</v>
      </c>
      <c r="CS8" s="167"/>
      <c r="CT8" s="112" t="s">
        <v>72</v>
      </c>
      <c r="CU8" s="260" t="s">
        <v>72</v>
      </c>
      <c r="CV8" s="27"/>
      <c r="CW8" s="79" t="s">
        <v>72</v>
      </c>
      <c r="CX8" s="87" t="s">
        <v>72</v>
      </c>
      <c r="CY8" s="83" t="s">
        <v>72</v>
      </c>
      <c r="CZ8" s="27"/>
      <c r="DA8" s="164" t="s">
        <v>72</v>
      </c>
      <c r="DB8" s="165" t="s">
        <v>72</v>
      </c>
      <c r="DC8" s="166" t="s">
        <v>72</v>
      </c>
      <c r="DD8" s="167"/>
      <c r="DE8" s="112" t="s">
        <v>72</v>
      </c>
      <c r="DF8" s="260" t="s">
        <v>72</v>
      </c>
      <c r="DG8" s="27"/>
      <c r="DH8" s="79" t="s">
        <v>72</v>
      </c>
      <c r="DI8" s="285" t="s">
        <v>72</v>
      </c>
      <c r="DJ8" s="83" t="s">
        <v>72</v>
      </c>
      <c r="DK8" s="27"/>
      <c r="DL8" s="164" t="s">
        <v>72</v>
      </c>
      <c r="DM8" s="165" t="s">
        <v>72</v>
      </c>
      <c r="DN8" s="166" t="s">
        <v>72</v>
      </c>
      <c r="DO8" s="167"/>
      <c r="DP8" s="112" t="s">
        <v>72</v>
      </c>
      <c r="DQ8" s="260" t="s">
        <v>72</v>
      </c>
    </row>
    <row r="9" spans="1:121" s="21" customFormat="1" ht="21.75" thickTop="1">
      <c r="A9" s="119" t="s">
        <v>10</v>
      </c>
      <c r="B9" s="80"/>
      <c r="C9" s="31"/>
      <c r="D9" s="84"/>
      <c r="E9" s="30"/>
      <c r="F9" s="168"/>
      <c r="G9" s="169"/>
      <c r="H9" s="170"/>
      <c r="I9" s="171"/>
      <c r="J9" s="89"/>
      <c r="K9" s="84"/>
      <c r="L9" s="119" t="s">
        <v>10</v>
      </c>
      <c r="M9" s="80"/>
      <c r="N9" s="31"/>
      <c r="O9" s="84"/>
      <c r="P9" s="30"/>
      <c r="Q9" s="168"/>
      <c r="R9" s="169"/>
      <c r="S9" s="170"/>
      <c r="T9" s="171"/>
      <c r="U9" s="89"/>
      <c r="V9" s="84"/>
      <c r="W9" s="119" t="s">
        <v>10</v>
      </c>
      <c r="X9" s="80"/>
      <c r="Y9" s="31"/>
      <c r="Z9" s="84"/>
      <c r="AA9" s="30"/>
      <c r="AB9" s="168"/>
      <c r="AC9" s="169"/>
      <c r="AD9" s="170"/>
      <c r="AE9" s="171"/>
      <c r="AF9" s="89"/>
      <c r="AG9" s="84"/>
      <c r="AH9" s="119" t="s">
        <v>10</v>
      </c>
      <c r="AI9" s="80"/>
      <c r="AJ9" s="31"/>
      <c r="AK9" s="84"/>
      <c r="AL9" s="30"/>
      <c r="AM9" s="168"/>
      <c r="AN9" s="169"/>
      <c r="AO9" s="170"/>
      <c r="AP9" s="171"/>
      <c r="AQ9" s="89"/>
      <c r="AR9" s="84"/>
      <c r="AS9" s="119" t="s">
        <v>10</v>
      </c>
      <c r="AT9" s="80"/>
      <c r="AU9" s="31"/>
      <c r="AV9" s="84"/>
      <c r="AW9" s="30"/>
      <c r="AX9" s="168"/>
      <c r="AY9" s="169"/>
      <c r="AZ9" s="170"/>
      <c r="BA9" s="171"/>
      <c r="BB9" s="89"/>
      <c r="BC9" s="261"/>
      <c r="BD9" s="119" t="s">
        <v>10</v>
      </c>
      <c r="BE9" s="80"/>
      <c r="BF9" s="31"/>
      <c r="BG9" s="84"/>
      <c r="BH9" s="30"/>
      <c r="BI9" s="168"/>
      <c r="BJ9" s="169"/>
      <c r="BK9" s="170"/>
      <c r="BL9" s="171"/>
      <c r="BM9" s="89"/>
      <c r="BN9" s="261"/>
      <c r="BO9" s="119" t="s">
        <v>10</v>
      </c>
      <c r="BP9" s="80"/>
      <c r="BQ9" s="31"/>
      <c r="BR9" s="84"/>
      <c r="BS9" s="30"/>
      <c r="BT9" s="168"/>
      <c r="BU9" s="169"/>
      <c r="BV9" s="170"/>
      <c r="BW9" s="171"/>
      <c r="BX9" s="89"/>
      <c r="BY9" s="261"/>
      <c r="BZ9" s="119" t="s">
        <v>10</v>
      </c>
      <c r="CA9" s="80"/>
      <c r="CB9" s="31"/>
      <c r="CC9" s="84"/>
      <c r="CD9" s="30"/>
      <c r="CE9" s="168"/>
      <c r="CF9" s="169"/>
      <c r="CG9" s="170"/>
      <c r="CH9" s="171"/>
      <c r="CI9" s="89"/>
      <c r="CJ9" s="261"/>
      <c r="CK9" s="119" t="s">
        <v>10</v>
      </c>
      <c r="CL9" s="80"/>
      <c r="CM9" s="31"/>
      <c r="CN9" s="84"/>
      <c r="CO9" s="30"/>
      <c r="CP9" s="168"/>
      <c r="CQ9" s="169"/>
      <c r="CR9" s="170"/>
      <c r="CS9" s="171"/>
      <c r="CT9" s="89"/>
      <c r="CU9" s="261"/>
      <c r="CV9" s="119" t="s">
        <v>10</v>
      </c>
      <c r="CW9" s="80"/>
      <c r="CX9" s="31"/>
      <c r="CY9" s="84"/>
      <c r="CZ9" s="30"/>
      <c r="DA9" s="168"/>
      <c r="DB9" s="169"/>
      <c r="DC9" s="170"/>
      <c r="DD9" s="171"/>
      <c r="DE9" s="89"/>
      <c r="DF9" s="261"/>
      <c r="DG9" s="119" t="s">
        <v>10</v>
      </c>
      <c r="DH9" s="80"/>
      <c r="DI9" s="286"/>
      <c r="DJ9" s="84"/>
      <c r="DK9" s="30"/>
      <c r="DL9" s="168"/>
      <c r="DM9" s="169"/>
      <c r="DN9" s="170"/>
      <c r="DO9" s="171"/>
      <c r="DP9" s="89"/>
      <c r="DQ9" s="261"/>
    </row>
    <row r="10" spans="1:121" ht="21">
      <c r="A10" s="120" t="s">
        <v>53</v>
      </c>
      <c r="B10" s="81">
        <v>15207861.6</v>
      </c>
      <c r="C10" s="38">
        <f>+J10-G10</f>
        <v>1492196</v>
      </c>
      <c r="D10" s="85">
        <f>+K10-H10</f>
        <v>1492196</v>
      </c>
      <c r="E10" s="203">
        <f aca="true" t="shared" si="0" ref="E10:E15">+D10/B10</f>
        <v>0.09812004075576279</v>
      </c>
      <c r="F10" s="172">
        <v>845500</v>
      </c>
      <c r="G10" s="173">
        <v>0</v>
      </c>
      <c r="H10" s="174">
        <f>+G10</f>
        <v>0</v>
      </c>
      <c r="I10" s="208">
        <f>+H10/F10</f>
        <v>0</v>
      </c>
      <c r="J10" s="90">
        <v>1492196</v>
      </c>
      <c r="K10" s="85">
        <f>+J10</f>
        <v>1492196</v>
      </c>
      <c r="L10" s="120" t="s">
        <v>53</v>
      </c>
      <c r="M10" s="81">
        <v>15207861.6</v>
      </c>
      <c r="N10" s="38">
        <f>+U10-R10</f>
        <v>1503074</v>
      </c>
      <c r="O10" s="85">
        <f>+V10-S10</f>
        <v>2995270</v>
      </c>
      <c r="P10" s="203">
        <f aca="true" t="shared" si="1" ref="P10:P15">+O10/M10</f>
        <v>0.19695536945181039</v>
      </c>
      <c r="Q10" s="172">
        <v>845500</v>
      </c>
      <c r="R10" s="173">
        <v>0</v>
      </c>
      <c r="S10" s="174">
        <f>+R10+H10</f>
        <v>0</v>
      </c>
      <c r="T10" s="208">
        <f>+S10/Q10</f>
        <v>0</v>
      </c>
      <c r="U10" s="90">
        <v>1503074</v>
      </c>
      <c r="V10" s="85">
        <f>+U10+K10</f>
        <v>2995270</v>
      </c>
      <c r="W10" s="120" t="s">
        <v>53</v>
      </c>
      <c r="X10" s="81">
        <v>15207861.6</v>
      </c>
      <c r="Y10" s="38">
        <f>+AF10-AC10</f>
        <v>1218458</v>
      </c>
      <c r="Z10" s="85">
        <f>+AG10-AD10</f>
        <v>4213728</v>
      </c>
      <c r="AA10" s="203">
        <f aca="true" t="shared" si="2" ref="AA10:AA15">+Z10/X10</f>
        <v>0.2770756409303462</v>
      </c>
      <c r="AB10" s="172">
        <v>845500</v>
      </c>
      <c r="AC10" s="173">
        <v>0</v>
      </c>
      <c r="AD10" s="174">
        <f>+AC10+S10</f>
        <v>0</v>
      </c>
      <c r="AE10" s="208">
        <f>+AD10/AB10</f>
        <v>0</v>
      </c>
      <c r="AF10" s="90">
        <v>1218458</v>
      </c>
      <c r="AG10" s="85">
        <f>+AF10+V10</f>
        <v>4213728</v>
      </c>
      <c r="AH10" s="120" t="s">
        <v>53</v>
      </c>
      <c r="AI10" s="81">
        <v>15207861.6</v>
      </c>
      <c r="AJ10" s="38">
        <f>+AQ10-AN10</f>
        <v>1240992</v>
      </c>
      <c r="AK10" s="85">
        <f>+AR10-AO10</f>
        <v>5454720</v>
      </c>
      <c r="AL10" s="203">
        <f aca="true" t="shared" si="3" ref="AL10:AL15">+AK10/AI10</f>
        <v>0.35867764604065044</v>
      </c>
      <c r="AM10" s="172">
        <v>845500</v>
      </c>
      <c r="AN10" s="173">
        <v>0</v>
      </c>
      <c r="AO10" s="174">
        <f>+AN10+AD10</f>
        <v>0</v>
      </c>
      <c r="AP10" s="208">
        <f>+AO10/AM10</f>
        <v>0</v>
      </c>
      <c r="AQ10" s="90">
        <v>1240992</v>
      </c>
      <c r="AR10" s="85">
        <f>+AQ10+AG10</f>
        <v>5454720</v>
      </c>
      <c r="AS10" s="120" t="s">
        <v>53</v>
      </c>
      <c r="AT10" s="81">
        <v>15200000</v>
      </c>
      <c r="AU10" s="38">
        <f>+BB10-AY10</f>
        <v>1197463</v>
      </c>
      <c r="AV10" s="85">
        <f>+BC10-AZ10</f>
        <v>6652183</v>
      </c>
      <c r="AW10" s="203">
        <f aca="true" t="shared" si="4" ref="AW10:AW15">+AV10/AT10</f>
        <v>0.43764361842105265</v>
      </c>
      <c r="AX10" s="172">
        <v>845500</v>
      </c>
      <c r="AY10" s="173">
        <v>0</v>
      </c>
      <c r="AZ10" s="174">
        <f>+AY10+AO10</f>
        <v>0</v>
      </c>
      <c r="BA10" s="208">
        <f>+AZ10/AX10</f>
        <v>0</v>
      </c>
      <c r="BB10" s="90">
        <v>1197463</v>
      </c>
      <c r="BC10" s="258">
        <f>+BB10+AR10</f>
        <v>6652183</v>
      </c>
      <c r="BD10" s="120" t="s">
        <v>53</v>
      </c>
      <c r="BE10" s="81">
        <v>15200000</v>
      </c>
      <c r="BF10" s="38">
        <f aca="true" t="shared" si="5" ref="BF10:BG15">+BM10-BJ10</f>
        <v>1196190</v>
      </c>
      <c r="BG10" s="85">
        <f t="shared" si="5"/>
        <v>7848373</v>
      </c>
      <c r="BH10" s="203">
        <f aca="true" t="shared" si="6" ref="BH10:BH15">+BG10/BE10</f>
        <v>0.5163403289473685</v>
      </c>
      <c r="BI10" s="172">
        <v>845500</v>
      </c>
      <c r="BJ10" s="173">
        <v>0</v>
      </c>
      <c r="BK10" s="174">
        <f>+BJ10+AZ10</f>
        <v>0</v>
      </c>
      <c r="BL10" s="208">
        <f>+BK10/BI10</f>
        <v>0</v>
      </c>
      <c r="BM10" s="90">
        <v>1196190</v>
      </c>
      <c r="BN10" s="258">
        <f aca="true" t="shared" si="7" ref="BN10:BN22">+BM10+BC10</f>
        <v>7848373</v>
      </c>
      <c r="BO10" s="120" t="s">
        <v>53</v>
      </c>
      <c r="BP10" s="81">
        <v>15200000</v>
      </c>
      <c r="BQ10" s="38">
        <f aca="true" t="shared" si="8" ref="BQ10:BQ15">+BX10-BU10</f>
        <v>1154450</v>
      </c>
      <c r="BR10" s="85">
        <f aca="true" t="shared" si="9" ref="BR10:BR44">+BY10-BV10</f>
        <v>9002823</v>
      </c>
      <c r="BS10" s="203">
        <f aca="true" t="shared" si="10" ref="BS10:BS15">+BR10/BP10</f>
        <v>0.5922909868421052</v>
      </c>
      <c r="BT10" s="172">
        <v>845500</v>
      </c>
      <c r="BU10" s="173">
        <v>0</v>
      </c>
      <c r="BV10" s="174">
        <f>+BU10+BK10</f>
        <v>0</v>
      </c>
      <c r="BW10" s="208">
        <f>+BV10/BT10</f>
        <v>0</v>
      </c>
      <c r="BX10" s="90">
        <v>1154450</v>
      </c>
      <c r="BY10" s="258">
        <f aca="true" t="shared" si="11" ref="BY10:BY48">+BX10+BN10</f>
        <v>9002823</v>
      </c>
      <c r="BZ10" s="120" t="s">
        <v>53</v>
      </c>
      <c r="CA10" s="81">
        <v>15200000</v>
      </c>
      <c r="CB10" s="38">
        <f aca="true" t="shared" si="12" ref="CB10:CB15">+CI10-CF10</f>
        <v>1282230</v>
      </c>
      <c r="CC10" s="85">
        <f aca="true" t="shared" si="13" ref="CC10:CC24">+CJ10-CG10</f>
        <v>10285053</v>
      </c>
      <c r="CD10" s="203">
        <f aca="true" t="shared" si="14" ref="CD10:CD15">+CC10/CA10</f>
        <v>0.6766482236842105</v>
      </c>
      <c r="CE10" s="172">
        <v>845500</v>
      </c>
      <c r="CF10" s="173">
        <v>0</v>
      </c>
      <c r="CG10" s="174">
        <f aca="true" t="shared" si="15" ref="CG10:CG19">+CF10+BV10</f>
        <v>0</v>
      </c>
      <c r="CH10" s="208">
        <f>+CG10/CE10</f>
        <v>0</v>
      </c>
      <c r="CI10" s="90">
        <v>1282230</v>
      </c>
      <c r="CJ10" s="258">
        <f aca="true" t="shared" si="16" ref="CJ10:CJ19">+CI10+BY10</f>
        <v>10285053</v>
      </c>
      <c r="CK10" s="120" t="s">
        <v>53</v>
      </c>
      <c r="CL10" s="81">
        <v>15200000</v>
      </c>
      <c r="CM10" s="38">
        <f aca="true" t="shared" si="17" ref="CM10:CM15">+CT10-CQ10</f>
        <v>1105418</v>
      </c>
      <c r="CN10" s="85">
        <f aca="true" t="shared" si="18" ref="CN10:CN50">+CU10-CR10</f>
        <v>11390471</v>
      </c>
      <c r="CO10" s="203">
        <f aca="true" t="shared" si="19" ref="CO10:CO15">+CN10/CL10</f>
        <v>0.7493730921052631</v>
      </c>
      <c r="CP10" s="172">
        <v>845500</v>
      </c>
      <c r="CQ10" s="173">
        <v>0</v>
      </c>
      <c r="CR10" s="174">
        <f aca="true" t="shared" si="20" ref="CR10:CR50">+CQ10+CG10</f>
        <v>0</v>
      </c>
      <c r="CS10" s="208">
        <f>+CR10/CP10</f>
        <v>0</v>
      </c>
      <c r="CT10" s="90">
        <v>1105418</v>
      </c>
      <c r="CU10" s="258">
        <f aca="true" t="shared" si="21" ref="CU10:CU50">+CT10+CJ10</f>
        <v>11390471</v>
      </c>
      <c r="CV10" s="120" t="s">
        <v>53</v>
      </c>
      <c r="CW10" s="81">
        <v>15200000</v>
      </c>
      <c r="CX10" s="38">
        <f aca="true" t="shared" si="22" ref="CX10:CX48">+DE10-DB10</f>
        <v>1252390</v>
      </c>
      <c r="CY10" s="85">
        <f aca="true" t="shared" si="23" ref="CY10:CY50">+DF10-DC10</f>
        <v>12642861</v>
      </c>
      <c r="CZ10" s="203">
        <f aca="true" t="shared" si="24" ref="CZ10:CZ15">+CY10/CW10</f>
        <v>0.8317671710526315</v>
      </c>
      <c r="DA10" s="172">
        <v>845500</v>
      </c>
      <c r="DB10" s="173">
        <v>0</v>
      </c>
      <c r="DC10" s="174">
        <f aca="true" t="shared" si="25" ref="DC10:DC50">+DB10+CR10</f>
        <v>0</v>
      </c>
      <c r="DD10" s="208">
        <f>+DC10/DA10</f>
        <v>0</v>
      </c>
      <c r="DE10" s="90">
        <v>1252390</v>
      </c>
      <c r="DF10" s="258">
        <f aca="true" t="shared" si="26" ref="DF10:DF50">+DE10+CU10</f>
        <v>12642861</v>
      </c>
      <c r="DG10" s="120" t="s">
        <v>53</v>
      </c>
      <c r="DH10" s="81">
        <v>15200000</v>
      </c>
      <c r="DI10" s="283">
        <v>1206171</v>
      </c>
      <c r="DJ10" s="85">
        <f>+DQ10-DN10</f>
        <v>13849032</v>
      </c>
      <c r="DK10" s="203">
        <f aca="true" t="shared" si="27" ref="DK10:DK15">+DJ10/DH10</f>
        <v>0.9111205263157894</v>
      </c>
      <c r="DL10" s="172">
        <v>845500</v>
      </c>
      <c r="DM10" s="173">
        <v>0</v>
      </c>
      <c r="DN10" s="174">
        <f aca="true" t="shared" si="28" ref="DN10:DN50">+DM10+DC10</f>
        <v>0</v>
      </c>
      <c r="DO10" s="208">
        <f>+DN10/DL10</f>
        <v>0</v>
      </c>
      <c r="DP10" s="90">
        <f>DI10</f>
        <v>1206171</v>
      </c>
      <c r="DQ10" s="258">
        <f>+DP10+DF10</f>
        <v>13849032</v>
      </c>
    </row>
    <row r="11" spans="1:121" ht="21">
      <c r="A11" s="120" t="s">
        <v>23</v>
      </c>
      <c r="B11" s="81">
        <v>7292160</v>
      </c>
      <c r="C11" s="38">
        <f aca="true" t="shared" si="29" ref="C11:C44">+J11-G11</f>
        <v>454600</v>
      </c>
      <c r="D11" s="85">
        <f aca="true" t="shared" si="30" ref="D11:D44">+K11-H11</f>
        <v>454600</v>
      </c>
      <c r="E11" s="203">
        <f t="shared" si="0"/>
        <v>0.06234092504827102</v>
      </c>
      <c r="F11" s="172">
        <v>0</v>
      </c>
      <c r="G11" s="173">
        <v>0</v>
      </c>
      <c r="H11" s="174">
        <f aca="true" t="shared" si="31" ref="H11:H44">+G11</f>
        <v>0</v>
      </c>
      <c r="I11" s="208">
        <f>+H11-F11</f>
        <v>0</v>
      </c>
      <c r="J11" s="90">
        <v>454600</v>
      </c>
      <c r="K11" s="85">
        <f aca="true" t="shared" si="32" ref="K11:K44">+J11</f>
        <v>454600</v>
      </c>
      <c r="L11" s="120" t="s">
        <v>23</v>
      </c>
      <c r="M11" s="81">
        <v>7292160</v>
      </c>
      <c r="N11" s="38">
        <f aca="true" t="shared" si="33" ref="N11:N45">+U11-R11</f>
        <v>411700</v>
      </c>
      <c r="O11" s="85">
        <f aca="true" t="shared" si="34" ref="O11:O44">+V11-S11</f>
        <v>866300</v>
      </c>
      <c r="P11" s="203">
        <f t="shared" si="1"/>
        <v>0.11879881955415131</v>
      </c>
      <c r="Q11" s="172">
        <v>0</v>
      </c>
      <c r="R11" s="173">
        <v>0</v>
      </c>
      <c r="S11" s="174">
        <f aca="true" t="shared" si="35" ref="S11:S45">+R11+H11</f>
        <v>0</v>
      </c>
      <c r="T11" s="208">
        <f>+S11-Q11</f>
        <v>0</v>
      </c>
      <c r="U11" s="90">
        <v>411700</v>
      </c>
      <c r="V11" s="85">
        <f aca="true" t="shared" si="36" ref="V11:V45">+U11+K11</f>
        <v>866300</v>
      </c>
      <c r="W11" s="120" t="s">
        <v>23</v>
      </c>
      <c r="X11" s="81">
        <v>7292160</v>
      </c>
      <c r="Y11" s="38">
        <f aca="true" t="shared" si="37" ref="Y11:Y45">+AF11-AC11</f>
        <v>488400</v>
      </c>
      <c r="Z11" s="85">
        <f aca="true" t="shared" si="38" ref="Z11:Z44">+AG11-AD11</f>
        <v>1354700</v>
      </c>
      <c r="AA11" s="203">
        <f t="shared" si="2"/>
        <v>0.18577485957521503</v>
      </c>
      <c r="AB11" s="172">
        <v>0</v>
      </c>
      <c r="AC11" s="173">
        <v>0</v>
      </c>
      <c r="AD11" s="174">
        <f aca="true" t="shared" si="39" ref="AD11:AD45">+AC11+S11</f>
        <v>0</v>
      </c>
      <c r="AE11" s="208">
        <f>+AD11-AB11</f>
        <v>0</v>
      </c>
      <c r="AF11" s="90">
        <v>488400</v>
      </c>
      <c r="AG11" s="85">
        <f aca="true" t="shared" si="40" ref="AG11:AG45">+AF11+V11</f>
        <v>1354700</v>
      </c>
      <c r="AH11" s="120" t="s">
        <v>23</v>
      </c>
      <c r="AI11" s="81">
        <v>7292160</v>
      </c>
      <c r="AJ11" s="38">
        <f aca="true" t="shared" si="41" ref="AJ11:AJ45">+AQ11-AN11</f>
        <v>446000</v>
      </c>
      <c r="AK11" s="85">
        <f aca="true" t="shared" si="42" ref="AK11:AK44">+AR11-AO11</f>
        <v>1800700</v>
      </c>
      <c r="AL11" s="203">
        <f t="shared" si="3"/>
        <v>0.24693643584342637</v>
      </c>
      <c r="AM11" s="172">
        <v>0</v>
      </c>
      <c r="AN11" s="173">
        <v>0</v>
      </c>
      <c r="AO11" s="174">
        <f aca="true" t="shared" si="43" ref="AO11:AO45">+AN11+AD11</f>
        <v>0</v>
      </c>
      <c r="AP11" s="208">
        <f>+AO11-AM11</f>
        <v>0</v>
      </c>
      <c r="AQ11" s="90">
        <v>446000</v>
      </c>
      <c r="AR11" s="85">
        <f aca="true" t="shared" si="44" ref="AR11:AR45">+AQ11+AG11</f>
        <v>1800700</v>
      </c>
      <c r="AS11" s="120" t="s">
        <v>23</v>
      </c>
      <c r="AT11" s="81">
        <v>7290000</v>
      </c>
      <c r="AU11" s="38">
        <f aca="true" t="shared" si="45" ref="AU11:AU45">+BB11-AY11</f>
        <v>410300</v>
      </c>
      <c r="AV11" s="85">
        <f aca="true" t="shared" si="46" ref="AV11:AV44">+BC11-AZ11</f>
        <v>2211000</v>
      </c>
      <c r="AW11" s="203">
        <f t="shared" si="4"/>
        <v>0.30329218106995887</v>
      </c>
      <c r="AX11" s="172">
        <v>0</v>
      </c>
      <c r="AY11" s="173">
        <v>0</v>
      </c>
      <c r="AZ11" s="174">
        <f aca="true" t="shared" si="47" ref="AZ11:AZ45">+AY11+AO11</f>
        <v>0</v>
      </c>
      <c r="BA11" s="208">
        <f>+AZ11-AX11</f>
        <v>0</v>
      </c>
      <c r="BB11" s="90">
        <v>410300</v>
      </c>
      <c r="BC11" s="258">
        <f>+BB11+AR11</f>
        <v>2211000</v>
      </c>
      <c r="BD11" s="120" t="s">
        <v>23</v>
      </c>
      <c r="BE11" s="81">
        <v>7290000</v>
      </c>
      <c r="BF11" s="38">
        <f t="shared" si="5"/>
        <v>423200</v>
      </c>
      <c r="BG11" s="85">
        <f t="shared" si="5"/>
        <v>2634200</v>
      </c>
      <c r="BH11" s="203">
        <f t="shared" si="6"/>
        <v>0.3613443072702332</v>
      </c>
      <c r="BI11" s="172">
        <v>0</v>
      </c>
      <c r="BJ11" s="173">
        <v>0</v>
      </c>
      <c r="BK11" s="174">
        <f aca="true" t="shared" si="48" ref="BK11:BK46">+BJ11+AZ11</f>
        <v>0</v>
      </c>
      <c r="BL11" s="208">
        <f>+BK11-BI11</f>
        <v>0</v>
      </c>
      <c r="BM11" s="90">
        <v>423200</v>
      </c>
      <c r="BN11" s="258">
        <f t="shared" si="7"/>
        <v>2634200</v>
      </c>
      <c r="BO11" s="120" t="s">
        <v>23</v>
      </c>
      <c r="BP11" s="81">
        <v>7290000</v>
      </c>
      <c r="BQ11" s="38">
        <f t="shared" si="8"/>
        <v>513500</v>
      </c>
      <c r="BR11" s="85">
        <f t="shared" si="9"/>
        <v>3147700</v>
      </c>
      <c r="BS11" s="203">
        <f t="shared" si="10"/>
        <v>0.4317832647462277</v>
      </c>
      <c r="BT11" s="172">
        <v>0</v>
      </c>
      <c r="BU11" s="173">
        <v>0</v>
      </c>
      <c r="BV11" s="174">
        <f aca="true" t="shared" si="49" ref="BV11:BV48">+BU11+BK11</f>
        <v>0</v>
      </c>
      <c r="BW11" s="208">
        <f>+BV11-BT11</f>
        <v>0</v>
      </c>
      <c r="BX11" s="90">
        <v>513500</v>
      </c>
      <c r="BY11" s="258">
        <f t="shared" si="11"/>
        <v>3147700</v>
      </c>
      <c r="BZ11" s="120" t="s">
        <v>23</v>
      </c>
      <c r="CA11" s="81">
        <v>7290000</v>
      </c>
      <c r="CB11" s="38">
        <f t="shared" si="12"/>
        <v>390600</v>
      </c>
      <c r="CC11" s="85">
        <f t="shared" si="13"/>
        <v>3538300</v>
      </c>
      <c r="CD11" s="203">
        <f t="shared" si="14"/>
        <v>0.48536351165980796</v>
      </c>
      <c r="CE11" s="172">
        <v>0</v>
      </c>
      <c r="CF11" s="173">
        <v>0</v>
      </c>
      <c r="CG11" s="174">
        <f t="shared" si="15"/>
        <v>0</v>
      </c>
      <c r="CH11" s="208">
        <f>+CG11-CE11</f>
        <v>0</v>
      </c>
      <c r="CI11" s="90">
        <v>390600</v>
      </c>
      <c r="CJ11" s="258">
        <f t="shared" si="16"/>
        <v>3538300</v>
      </c>
      <c r="CK11" s="120" t="s">
        <v>23</v>
      </c>
      <c r="CL11" s="81">
        <v>7290000</v>
      </c>
      <c r="CM11" s="38">
        <f t="shared" si="17"/>
        <v>335750</v>
      </c>
      <c r="CN11" s="85">
        <f t="shared" si="18"/>
        <v>3874050</v>
      </c>
      <c r="CO11" s="203">
        <f t="shared" si="19"/>
        <v>0.5314197530864198</v>
      </c>
      <c r="CP11" s="172">
        <v>0</v>
      </c>
      <c r="CQ11" s="173">
        <v>0</v>
      </c>
      <c r="CR11" s="174">
        <f t="shared" si="20"/>
        <v>0</v>
      </c>
      <c r="CS11" s="208">
        <f>+CR11-CP11</f>
        <v>0</v>
      </c>
      <c r="CT11" s="90">
        <v>335750</v>
      </c>
      <c r="CU11" s="258">
        <f t="shared" si="21"/>
        <v>3874050</v>
      </c>
      <c r="CV11" s="120" t="s">
        <v>23</v>
      </c>
      <c r="CW11" s="81">
        <v>7290000</v>
      </c>
      <c r="CX11" s="38">
        <f t="shared" si="22"/>
        <v>438100</v>
      </c>
      <c r="CY11" s="85">
        <f t="shared" si="23"/>
        <v>4312150</v>
      </c>
      <c r="CZ11" s="203">
        <f t="shared" si="24"/>
        <v>0.5915157750342935</v>
      </c>
      <c r="DA11" s="172">
        <v>0</v>
      </c>
      <c r="DB11" s="173">
        <v>0</v>
      </c>
      <c r="DC11" s="174">
        <f t="shared" si="25"/>
        <v>0</v>
      </c>
      <c r="DD11" s="208">
        <f>+DC11-DA11</f>
        <v>0</v>
      </c>
      <c r="DE11" s="90">
        <v>438100</v>
      </c>
      <c r="DF11" s="258">
        <f t="shared" si="26"/>
        <v>4312150</v>
      </c>
      <c r="DG11" s="120" t="s">
        <v>23</v>
      </c>
      <c r="DH11" s="81">
        <v>7290000</v>
      </c>
      <c r="DI11" s="283">
        <v>429500</v>
      </c>
      <c r="DJ11" s="85">
        <f>+DQ11-DN11</f>
        <v>4741650</v>
      </c>
      <c r="DK11" s="203">
        <f t="shared" si="27"/>
        <v>0.6504320987654321</v>
      </c>
      <c r="DL11" s="172">
        <v>0</v>
      </c>
      <c r="DM11" s="173">
        <v>0</v>
      </c>
      <c r="DN11" s="174">
        <f t="shared" si="28"/>
        <v>0</v>
      </c>
      <c r="DO11" s="208">
        <f>+DN11-DL11</f>
        <v>0</v>
      </c>
      <c r="DP11" s="90">
        <f>DI11</f>
        <v>429500</v>
      </c>
      <c r="DQ11" s="258">
        <f aca="true" t="shared" si="50" ref="DQ11:DQ50">+DP11+DF11</f>
        <v>4741650</v>
      </c>
    </row>
    <row r="12" spans="1:121" ht="21">
      <c r="A12" s="120" t="s">
        <v>22</v>
      </c>
      <c r="B12" s="81">
        <v>178800</v>
      </c>
      <c r="C12" s="38">
        <f t="shared" si="29"/>
        <v>0</v>
      </c>
      <c r="D12" s="85">
        <f t="shared" si="30"/>
        <v>0</v>
      </c>
      <c r="E12" s="203">
        <f t="shared" si="0"/>
        <v>0</v>
      </c>
      <c r="F12" s="172">
        <v>0</v>
      </c>
      <c r="G12" s="173">
        <v>0</v>
      </c>
      <c r="H12" s="174">
        <f t="shared" si="31"/>
        <v>0</v>
      </c>
      <c r="I12" s="208">
        <f>+H12-F12</f>
        <v>0</v>
      </c>
      <c r="J12" s="90">
        <v>0</v>
      </c>
      <c r="K12" s="85">
        <f t="shared" si="32"/>
        <v>0</v>
      </c>
      <c r="L12" s="120" t="s">
        <v>22</v>
      </c>
      <c r="M12" s="81">
        <v>178800</v>
      </c>
      <c r="N12" s="38">
        <f t="shared" si="33"/>
        <v>0</v>
      </c>
      <c r="O12" s="85">
        <f t="shared" si="34"/>
        <v>0</v>
      </c>
      <c r="P12" s="203">
        <f t="shared" si="1"/>
        <v>0</v>
      </c>
      <c r="Q12" s="172">
        <v>0</v>
      </c>
      <c r="R12" s="173">
        <v>0</v>
      </c>
      <c r="S12" s="174">
        <f t="shared" si="35"/>
        <v>0</v>
      </c>
      <c r="T12" s="208">
        <f>+S12-Q12</f>
        <v>0</v>
      </c>
      <c r="U12" s="90">
        <v>0</v>
      </c>
      <c r="V12" s="85">
        <f t="shared" si="36"/>
        <v>0</v>
      </c>
      <c r="W12" s="120" t="s">
        <v>22</v>
      </c>
      <c r="X12" s="81">
        <v>178800</v>
      </c>
      <c r="Y12" s="38">
        <f t="shared" si="37"/>
        <v>8800</v>
      </c>
      <c r="Z12" s="85">
        <f t="shared" si="38"/>
        <v>8800</v>
      </c>
      <c r="AA12" s="203">
        <f t="shared" si="2"/>
        <v>0.049217002237136466</v>
      </c>
      <c r="AB12" s="172">
        <v>0</v>
      </c>
      <c r="AC12" s="173">
        <v>0</v>
      </c>
      <c r="AD12" s="174">
        <f t="shared" si="39"/>
        <v>0</v>
      </c>
      <c r="AE12" s="208">
        <f>+AD12-AB12</f>
        <v>0</v>
      </c>
      <c r="AF12" s="90">
        <v>8800</v>
      </c>
      <c r="AG12" s="85">
        <f t="shared" si="40"/>
        <v>8800</v>
      </c>
      <c r="AH12" s="120" t="s">
        <v>22</v>
      </c>
      <c r="AI12" s="81">
        <v>178800</v>
      </c>
      <c r="AJ12" s="38">
        <f t="shared" si="41"/>
        <v>2000</v>
      </c>
      <c r="AK12" s="85">
        <f t="shared" si="42"/>
        <v>10800</v>
      </c>
      <c r="AL12" s="203">
        <f t="shared" si="3"/>
        <v>0.06040268456375839</v>
      </c>
      <c r="AM12" s="172">
        <v>0</v>
      </c>
      <c r="AN12" s="173">
        <v>0</v>
      </c>
      <c r="AO12" s="174">
        <f t="shared" si="43"/>
        <v>0</v>
      </c>
      <c r="AP12" s="208">
        <f>+AO12-AM12</f>
        <v>0</v>
      </c>
      <c r="AQ12" s="90">
        <v>2000</v>
      </c>
      <c r="AR12" s="85">
        <f t="shared" si="44"/>
        <v>10800</v>
      </c>
      <c r="AS12" s="120" t="s">
        <v>22</v>
      </c>
      <c r="AT12" s="81">
        <v>193000</v>
      </c>
      <c r="AU12" s="38">
        <f t="shared" si="45"/>
        <v>3000</v>
      </c>
      <c r="AV12" s="85">
        <f t="shared" si="46"/>
        <v>13800</v>
      </c>
      <c r="AW12" s="203">
        <f t="shared" si="4"/>
        <v>0.07150259067357513</v>
      </c>
      <c r="AX12" s="172">
        <v>0</v>
      </c>
      <c r="AY12" s="173">
        <v>0</v>
      </c>
      <c r="AZ12" s="174">
        <f t="shared" si="47"/>
        <v>0</v>
      </c>
      <c r="BA12" s="208">
        <f>+AZ12-AX12</f>
        <v>0</v>
      </c>
      <c r="BB12" s="90">
        <v>3000</v>
      </c>
      <c r="BC12" s="258">
        <f aca="true" t="shared" si="51" ref="BC12:BC45">+BB12+AR12</f>
        <v>13800</v>
      </c>
      <c r="BD12" s="120" t="s">
        <v>22</v>
      </c>
      <c r="BE12" s="81">
        <v>193000</v>
      </c>
      <c r="BF12" s="38">
        <f t="shared" si="5"/>
        <v>2000</v>
      </c>
      <c r="BG12" s="85">
        <f t="shared" si="5"/>
        <v>15800</v>
      </c>
      <c r="BH12" s="203">
        <f t="shared" si="6"/>
        <v>0.08186528497409326</v>
      </c>
      <c r="BI12" s="172">
        <v>0</v>
      </c>
      <c r="BJ12" s="173">
        <v>0</v>
      </c>
      <c r="BK12" s="174">
        <f t="shared" si="48"/>
        <v>0</v>
      </c>
      <c r="BL12" s="208">
        <f>+BK12-BI12</f>
        <v>0</v>
      </c>
      <c r="BM12" s="90">
        <v>2000</v>
      </c>
      <c r="BN12" s="258">
        <f t="shared" si="7"/>
        <v>15800</v>
      </c>
      <c r="BO12" s="120" t="s">
        <v>22</v>
      </c>
      <c r="BP12" s="81">
        <v>193000</v>
      </c>
      <c r="BQ12" s="38">
        <f t="shared" si="8"/>
        <v>0</v>
      </c>
      <c r="BR12" s="85">
        <f t="shared" si="9"/>
        <v>15800</v>
      </c>
      <c r="BS12" s="203">
        <f t="shared" si="10"/>
        <v>0.08186528497409326</v>
      </c>
      <c r="BT12" s="172">
        <v>0</v>
      </c>
      <c r="BU12" s="173">
        <v>0</v>
      </c>
      <c r="BV12" s="174">
        <f t="shared" si="49"/>
        <v>0</v>
      </c>
      <c r="BW12" s="208">
        <f>+BV12-BT12</f>
        <v>0</v>
      </c>
      <c r="BX12" s="90">
        <v>0</v>
      </c>
      <c r="BY12" s="258">
        <f t="shared" si="11"/>
        <v>15800</v>
      </c>
      <c r="BZ12" s="120" t="s">
        <v>22</v>
      </c>
      <c r="CA12" s="81">
        <v>193000</v>
      </c>
      <c r="CB12" s="38">
        <f t="shared" si="12"/>
        <v>0</v>
      </c>
      <c r="CC12" s="85">
        <f t="shared" si="13"/>
        <v>15800</v>
      </c>
      <c r="CD12" s="203">
        <f t="shared" si="14"/>
        <v>0.08186528497409326</v>
      </c>
      <c r="CE12" s="172">
        <v>0</v>
      </c>
      <c r="CF12" s="173">
        <v>0</v>
      </c>
      <c r="CG12" s="174">
        <f t="shared" si="15"/>
        <v>0</v>
      </c>
      <c r="CH12" s="208">
        <f>+CG12-CE12</f>
        <v>0</v>
      </c>
      <c r="CI12" s="90">
        <v>0</v>
      </c>
      <c r="CJ12" s="258">
        <f t="shared" si="16"/>
        <v>15800</v>
      </c>
      <c r="CK12" s="120" t="s">
        <v>22</v>
      </c>
      <c r="CL12" s="81">
        <v>193000</v>
      </c>
      <c r="CM12" s="38">
        <f t="shared" si="17"/>
        <v>0</v>
      </c>
      <c r="CN12" s="85">
        <f t="shared" si="18"/>
        <v>15800</v>
      </c>
      <c r="CO12" s="203">
        <f t="shared" si="19"/>
        <v>0.08186528497409326</v>
      </c>
      <c r="CP12" s="172">
        <v>0</v>
      </c>
      <c r="CQ12" s="173">
        <v>0</v>
      </c>
      <c r="CR12" s="174">
        <f t="shared" si="20"/>
        <v>0</v>
      </c>
      <c r="CS12" s="208">
        <f>+CR12-CP12</f>
        <v>0</v>
      </c>
      <c r="CT12" s="90">
        <v>0</v>
      </c>
      <c r="CU12" s="258">
        <f t="shared" si="21"/>
        <v>15800</v>
      </c>
      <c r="CV12" s="120" t="s">
        <v>22</v>
      </c>
      <c r="CW12" s="81">
        <v>193000</v>
      </c>
      <c r="CX12" s="38">
        <f t="shared" si="22"/>
        <v>0</v>
      </c>
      <c r="CY12" s="85">
        <f t="shared" si="23"/>
        <v>15800</v>
      </c>
      <c r="CZ12" s="203">
        <f t="shared" si="24"/>
        <v>0.08186528497409326</v>
      </c>
      <c r="DA12" s="172">
        <v>0</v>
      </c>
      <c r="DB12" s="173">
        <v>0</v>
      </c>
      <c r="DC12" s="174">
        <f t="shared" si="25"/>
        <v>0</v>
      </c>
      <c r="DD12" s="208">
        <f>+DC12-DA12</f>
        <v>0</v>
      </c>
      <c r="DE12" s="90">
        <v>0</v>
      </c>
      <c r="DF12" s="258">
        <f t="shared" si="26"/>
        <v>15800</v>
      </c>
      <c r="DG12" s="120" t="s">
        <v>22</v>
      </c>
      <c r="DH12" s="81">
        <v>193000</v>
      </c>
      <c r="DI12" s="283">
        <f aca="true" t="shared" si="52" ref="DI12:DI48">+DP12-DM12</f>
        <v>0</v>
      </c>
      <c r="DJ12" s="85">
        <f aca="true" t="shared" si="53" ref="DJ12:DJ50">+DQ12-DN12</f>
        <v>15800</v>
      </c>
      <c r="DK12" s="203">
        <f t="shared" si="27"/>
        <v>0.08186528497409326</v>
      </c>
      <c r="DL12" s="172">
        <v>0</v>
      </c>
      <c r="DM12" s="173">
        <v>0</v>
      </c>
      <c r="DN12" s="174">
        <f t="shared" si="28"/>
        <v>0</v>
      </c>
      <c r="DO12" s="208">
        <f>+DN12-DL12</f>
        <v>0</v>
      </c>
      <c r="DP12" s="90">
        <v>0</v>
      </c>
      <c r="DQ12" s="258">
        <f t="shared" si="50"/>
        <v>15800</v>
      </c>
    </row>
    <row r="13" spans="1:121" ht="21">
      <c r="A13" s="120" t="s">
        <v>11</v>
      </c>
      <c r="B13" s="81">
        <v>406233.73</v>
      </c>
      <c r="C13" s="38">
        <f t="shared" si="29"/>
        <v>106492</v>
      </c>
      <c r="D13" s="85">
        <f t="shared" si="30"/>
        <v>106492</v>
      </c>
      <c r="E13" s="203">
        <f t="shared" si="0"/>
        <v>0.26214465253783825</v>
      </c>
      <c r="F13" s="172">
        <v>0</v>
      </c>
      <c r="G13" s="173">
        <v>0</v>
      </c>
      <c r="H13" s="174">
        <f t="shared" si="31"/>
        <v>0</v>
      </c>
      <c r="I13" s="208">
        <f>+H13/H51</f>
        <v>0</v>
      </c>
      <c r="J13" s="90">
        <v>106492</v>
      </c>
      <c r="K13" s="85">
        <f t="shared" si="32"/>
        <v>106492</v>
      </c>
      <c r="L13" s="120" t="s">
        <v>11</v>
      </c>
      <c r="M13" s="81">
        <v>406233.73</v>
      </c>
      <c r="N13" s="38">
        <f t="shared" si="33"/>
        <v>63078</v>
      </c>
      <c r="O13" s="85">
        <f t="shared" si="34"/>
        <v>169570</v>
      </c>
      <c r="P13" s="203">
        <f t="shared" si="1"/>
        <v>0.41741979426474507</v>
      </c>
      <c r="Q13" s="172">
        <v>0</v>
      </c>
      <c r="R13" s="173">
        <v>0</v>
      </c>
      <c r="S13" s="174">
        <f t="shared" si="35"/>
        <v>0</v>
      </c>
      <c r="T13" s="208">
        <f>+S13/S51</f>
        <v>0</v>
      </c>
      <c r="U13" s="90">
        <v>63078</v>
      </c>
      <c r="V13" s="85">
        <f t="shared" si="36"/>
        <v>169570</v>
      </c>
      <c r="W13" s="120" t="s">
        <v>11</v>
      </c>
      <c r="X13" s="81">
        <v>406233.73</v>
      </c>
      <c r="Y13" s="38">
        <f t="shared" si="37"/>
        <v>243810</v>
      </c>
      <c r="Z13" s="85">
        <f t="shared" si="38"/>
        <v>413380</v>
      </c>
      <c r="AA13" s="203">
        <f t="shared" si="2"/>
        <v>1.0175915229885022</v>
      </c>
      <c r="AB13" s="172">
        <v>0</v>
      </c>
      <c r="AC13" s="173">
        <v>0</v>
      </c>
      <c r="AD13" s="174">
        <f t="shared" si="39"/>
        <v>0</v>
      </c>
      <c r="AE13" s="208">
        <f>+AD13/AD51</f>
        <v>0</v>
      </c>
      <c r="AF13" s="90">
        <v>243810</v>
      </c>
      <c r="AG13" s="85">
        <f t="shared" si="40"/>
        <v>413380</v>
      </c>
      <c r="AH13" s="120" t="s">
        <v>11</v>
      </c>
      <c r="AI13" s="81">
        <v>406233.73</v>
      </c>
      <c r="AJ13" s="38">
        <f t="shared" si="41"/>
        <v>12200</v>
      </c>
      <c r="AK13" s="85">
        <f t="shared" si="42"/>
        <v>425580</v>
      </c>
      <c r="AL13" s="203">
        <f t="shared" si="3"/>
        <v>1.047623494976648</v>
      </c>
      <c r="AM13" s="172">
        <v>0</v>
      </c>
      <c r="AN13" s="173">
        <v>0</v>
      </c>
      <c r="AO13" s="174">
        <f t="shared" si="43"/>
        <v>0</v>
      </c>
      <c r="AP13" s="208">
        <f>+AO13/AO51</f>
        <v>0</v>
      </c>
      <c r="AQ13" s="90">
        <v>12200</v>
      </c>
      <c r="AR13" s="85">
        <f t="shared" si="44"/>
        <v>425580</v>
      </c>
      <c r="AS13" s="120" t="s">
        <v>11</v>
      </c>
      <c r="AT13" s="81">
        <v>3200000</v>
      </c>
      <c r="AU13" s="38">
        <f t="shared" si="45"/>
        <v>65100</v>
      </c>
      <c r="AV13" s="85">
        <f t="shared" si="46"/>
        <v>490680</v>
      </c>
      <c r="AW13" s="203">
        <f t="shared" si="4"/>
        <v>0.1533375</v>
      </c>
      <c r="AX13" s="172">
        <v>0</v>
      </c>
      <c r="AY13" s="173">
        <v>0</v>
      </c>
      <c r="AZ13" s="174">
        <f t="shared" si="47"/>
        <v>0</v>
      </c>
      <c r="BA13" s="208">
        <f>+AZ13/AZ51</f>
        <v>0</v>
      </c>
      <c r="BB13" s="90">
        <v>65100</v>
      </c>
      <c r="BC13" s="258">
        <f t="shared" si="51"/>
        <v>490680</v>
      </c>
      <c r="BD13" s="120" t="s">
        <v>11</v>
      </c>
      <c r="BE13" s="81">
        <v>3200000</v>
      </c>
      <c r="BF13" s="38">
        <f t="shared" si="5"/>
        <v>13400</v>
      </c>
      <c r="BG13" s="85">
        <f t="shared" si="5"/>
        <v>504080</v>
      </c>
      <c r="BH13" s="203">
        <f t="shared" si="6"/>
        <v>0.157525</v>
      </c>
      <c r="BI13" s="172">
        <v>0</v>
      </c>
      <c r="BJ13" s="173">
        <v>0</v>
      </c>
      <c r="BK13" s="174">
        <f t="shared" si="48"/>
        <v>0</v>
      </c>
      <c r="BL13" s="208">
        <f>+BK13/BK51</f>
        <v>0</v>
      </c>
      <c r="BM13" s="90">
        <v>13400</v>
      </c>
      <c r="BN13" s="258">
        <f t="shared" si="7"/>
        <v>504080</v>
      </c>
      <c r="BO13" s="120" t="s">
        <v>11</v>
      </c>
      <c r="BP13" s="81">
        <v>3200000</v>
      </c>
      <c r="BQ13" s="38">
        <f t="shared" si="8"/>
        <v>100100</v>
      </c>
      <c r="BR13" s="85">
        <f t="shared" si="9"/>
        <v>604180</v>
      </c>
      <c r="BS13" s="203">
        <f t="shared" si="10"/>
        <v>0.18880625</v>
      </c>
      <c r="BT13" s="172">
        <v>0</v>
      </c>
      <c r="BU13" s="173">
        <v>0</v>
      </c>
      <c r="BV13" s="174">
        <f t="shared" si="49"/>
        <v>0</v>
      </c>
      <c r="BW13" s="208">
        <f>+BV13/BV51</f>
        <v>0</v>
      </c>
      <c r="BX13" s="90">
        <v>100100</v>
      </c>
      <c r="BY13" s="258">
        <f t="shared" si="11"/>
        <v>604180</v>
      </c>
      <c r="BZ13" s="120" t="s">
        <v>11</v>
      </c>
      <c r="CA13" s="81">
        <v>3200000</v>
      </c>
      <c r="CB13" s="38">
        <f t="shared" si="12"/>
        <v>12200</v>
      </c>
      <c r="CC13" s="85">
        <f t="shared" si="13"/>
        <v>616380</v>
      </c>
      <c r="CD13" s="203">
        <f t="shared" si="14"/>
        <v>0.19261875</v>
      </c>
      <c r="CE13" s="172">
        <v>0</v>
      </c>
      <c r="CF13" s="173">
        <v>0</v>
      </c>
      <c r="CG13" s="174">
        <f t="shared" si="15"/>
        <v>0</v>
      </c>
      <c r="CH13" s="208">
        <f>+CG13/CG51</f>
        <v>0</v>
      </c>
      <c r="CI13" s="90">
        <v>12200</v>
      </c>
      <c r="CJ13" s="258">
        <f t="shared" si="16"/>
        <v>616380</v>
      </c>
      <c r="CK13" s="120" t="s">
        <v>11</v>
      </c>
      <c r="CL13" s="81">
        <v>3200000</v>
      </c>
      <c r="CM13" s="38">
        <f t="shared" si="17"/>
        <v>17400</v>
      </c>
      <c r="CN13" s="85">
        <f t="shared" si="18"/>
        <v>633780</v>
      </c>
      <c r="CO13" s="203">
        <f t="shared" si="19"/>
        <v>0.19805625</v>
      </c>
      <c r="CP13" s="172">
        <v>0</v>
      </c>
      <c r="CQ13" s="173">
        <v>0</v>
      </c>
      <c r="CR13" s="174">
        <f t="shared" si="20"/>
        <v>0</v>
      </c>
      <c r="CS13" s="208">
        <f>+CR13/CR51</f>
        <v>0</v>
      </c>
      <c r="CT13" s="90">
        <v>17400</v>
      </c>
      <c r="CU13" s="258">
        <f t="shared" si="21"/>
        <v>633780</v>
      </c>
      <c r="CV13" s="120" t="s">
        <v>11</v>
      </c>
      <c r="CW13" s="81">
        <v>3200000</v>
      </c>
      <c r="CX13" s="38">
        <f t="shared" si="22"/>
        <v>38380.42</v>
      </c>
      <c r="CY13" s="85">
        <f t="shared" si="23"/>
        <v>672160.42</v>
      </c>
      <c r="CZ13" s="203">
        <f t="shared" si="24"/>
        <v>0.21005013125000002</v>
      </c>
      <c r="DA13" s="172">
        <v>0</v>
      </c>
      <c r="DB13" s="173">
        <v>0</v>
      </c>
      <c r="DC13" s="174">
        <f t="shared" si="25"/>
        <v>0</v>
      </c>
      <c r="DD13" s="208">
        <f>+DC13/DC51</f>
        <v>0</v>
      </c>
      <c r="DE13" s="90">
        <v>38380.42</v>
      </c>
      <c r="DF13" s="258">
        <f t="shared" si="26"/>
        <v>672160.42</v>
      </c>
      <c r="DG13" s="120" t="s">
        <v>11</v>
      </c>
      <c r="DH13" s="81">
        <v>3200000</v>
      </c>
      <c r="DI13" s="283">
        <v>-22190.42</v>
      </c>
      <c r="DJ13" s="85">
        <f t="shared" si="53"/>
        <v>676980.42</v>
      </c>
      <c r="DK13" s="203">
        <f t="shared" si="27"/>
        <v>0.21155638125</v>
      </c>
      <c r="DL13" s="172">
        <v>0</v>
      </c>
      <c r="DM13" s="173">
        <v>0</v>
      </c>
      <c r="DN13" s="174">
        <f t="shared" si="28"/>
        <v>0</v>
      </c>
      <c r="DO13" s="208">
        <f>+DN13/DN51</f>
        <v>0</v>
      </c>
      <c r="DP13" s="90">
        <v>4820</v>
      </c>
      <c r="DQ13" s="258">
        <f t="shared" si="50"/>
        <v>676980.42</v>
      </c>
    </row>
    <row r="14" spans="1:121" ht="21">
      <c r="A14" s="120" t="s">
        <v>24</v>
      </c>
      <c r="B14" s="81">
        <v>137738.33</v>
      </c>
      <c r="C14" s="38">
        <f t="shared" si="29"/>
        <v>80791.36</v>
      </c>
      <c r="D14" s="85">
        <f t="shared" si="30"/>
        <v>80791.36</v>
      </c>
      <c r="E14" s="203">
        <f t="shared" si="0"/>
        <v>0.5865568429644821</v>
      </c>
      <c r="F14" s="172">
        <v>0</v>
      </c>
      <c r="G14" s="173">
        <v>0</v>
      </c>
      <c r="H14" s="174">
        <f t="shared" si="31"/>
        <v>0</v>
      </c>
      <c r="I14" s="208">
        <f>+H14/H51</f>
        <v>0</v>
      </c>
      <c r="J14" s="90">
        <v>80791.36</v>
      </c>
      <c r="K14" s="85">
        <f t="shared" si="32"/>
        <v>80791.36</v>
      </c>
      <c r="L14" s="120" t="s">
        <v>24</v>
      </c>
      <c r="M14" s="81">
        <v>137738.33</v>
      </c>
      <c r="N14" s="38">
        <f t="shared" si="33"/>
        <v>3280.39</v>
      </c>
      <c r="O14" s="85">
        <f t="shared" si="34"/>
        <v>84071.75</v>
      </c>
      <c r="P14" s="203">
        <f t="shared" si="1"/>
        <v>0.6103729441180245</v>
      </c>
      <c r="Q14" s="172">
        <v>0</v>
      </c>
      <c r="R14" s="173">
        <v>0</v>
      </c>
      <c r="S14" s="174">
        <f t="shared" si="35"/>
        <v>0</v>
      </c>
      <c r="T14" s="208">
        <f>+S14/S51</f>
        <v>0</v>
      </c>
      <c r="U14" s="90">
        <v>3280.39</v>
      </c>
      <c r="V14" s="85">
        <f t="shared" si="36"/>
        <v>84071.75</v>
      </c>
      <c r="W14" s="120" t="s">
        <v>24</v>
      </c>
      <c r="X14" s="81">
        <v>137738.33</v>
      </c>
      <c r="Y14" s="38">
        <f t="shared" si="37"/>
        <v>0</v>
      </c>
      <c r="Z14" s="85">
        <f t="shared" si="38"/>
        <v>84071.75</v>
      </c>
      <c r="AA14" s="203">
        <f t="shared" si="2"/>
        <v>0.6103729441180245</v>
      </c>
      <c r="AB14" s="172">
        <v>0</v>
      </c>
      <c r="AC14" s="173">
        <v>0</v>
      </c>
      <c r="AD14" s="174">
        <f t="shared" si="39"/>
        <v>0</v>
      </c>
      <c r="AE14" s="208">
        <f>+AD14/AD51</f>
        <v>0</v>
      </c>
      <c r="AF14" s="90">
        <v>0</v>
      </c>
      <c r="AG14" s="85">
        <f t="shared" si="40"/>
        <v>84071.75</v>
      </c>
      <c r="AH14" s="120" t="s">
        <v>24</v>
      </c>
      <c r="AI14" s="81">
        <v>137738.33</v>
      </c>
      <c r="AJ14" s="38">
        <f t="shared" si="41"/>
        <v>20406.19</v>
      </c>
      <c r="AK14" s="85">
        <f t="shared" si="42"/>
        <v>104477.94</v>
      </c>
      <c r="AL14" s="203">
        <f t="shared" si="3"/>
        <v>0.7585248056949726</v>
      </c>
      <c r="AM14" s="172">
        <v>0</v>
      </c>
      <c r="AN14" s="173">
        <v>0</v>
      </c>
      <c r="AO14" s="174">
        <f t="shared" si="43"/>
        <v>0</v>
      </c>
      <c r="AP14" s="208">
        <f>+AO14/AO51</f>
        <v>0</v>
      </c>
      <c r="AQ14" s="90">
        <v>20406.19</v>
      </c>
      <c r="AR14" s="85">
        <f t="shared" si="44"/>
        <v>104477.94</v>
      </c>
      <c r="AS14" s="120" t="s">
        <v>24</v>
      </c>
      <c r="AT14" s="81">
        <v>135000</v>
      </c>
      <c r="AU14" s="38">
        <f t="shared" si="45"/>
        <v>162.91</v>
      </c>
      <c r="AV14" s="85">
        <f t="shared" si="46"/>
        <v>104640.85</v>
      </c>
      <c r="AW14" s="203">
        <f t="shared" si="4"/>
        <v>0.7751174074074074</v>
      </c>
      <c r="AX14" s="172">
        <v>0</v>
      </c>
      <c r="AY14" s="173">
        <v>0</v>
      </c>
      <c r="AZ14" s="174">
        <f t="shared" si="47"/>
        <v>0</v>
      </c>
      <c r="BA14" s="208">
        <f>+AZ14/AZ51</f>
        <v>0</v>
      </c>
      <c r="BB14" s="90">
        <v>162.91</v>
      </c>
      <c r="BC14" s="258">
        <f t="shared" si="51"/>
        <v>104640.85</v>
      </c>
      <c r="BD14" s="120" t="s">
        <v>24</v>
      </c>
      <c r="BE14" s="81">
        <v>135000</v>
      </c>
      <c r="BF14" s="38">
        <f t="shared" si="5"/>
        <v>0</v>
      </c>
      <c r="BG14" s="85">
        <f t="shared" si="5"/>
        <v>104640.85</v>
      </c>
      <c r="BH14" s="203">
        <f t="shared" si="6"/>
        <v>0.7751174074074074</v>
      </c>
      <c r="BI14" s="172">
        <v>0</v>
      </c>
      <c r="BJ14" s="173">
        <v>0</v>
      </c>
      <c r="BK14" s="174">
        <f t="shared" si="48"/>
        <v>0</v>
      </c>
      <c r="BL14" s="208">
        <f>+BK14/BK51</f>
        <v>0</v>
      </c>
      <c r="BM14" s="90">
        <v>0</v>
      </c>
      <c r="BN14" s="258">
        <f t="shared" si="7"/>
        <v>104640.85</v>
      </c>
      <c r="BO14" s="120" t="s">
        <v>24</v>
      </c>
      <c r="BP14" s="81">
        <v>135000</v>
      </c>
      <c r="BQ14" s="38">
        <f t="shared" si="8"/>
        <v>0</v>
      </c>
      <c r="BR14" s="85">
        <f t="shared" si="9"/>
        <v>104640.85</v>
      </c>
      <c r="BS14" s="203">
        <f t="shared" si="10"/>
        <v>0.7751174074074074</v>
      </c>
      <c r="BT14" s="172">
        <v>0</v>
      </c>
      <c r="BU14" s="173">
        <v>0</v>
      </c>
      <c r="BV14" s="174">
        <f t="shared" si="49"/>
        <v>0</v>
      </c>
      <c r="BW14" s="208">
        <f>+BV14/BV51</f>
        <v>0</v>
      </c>
      <c r="BX14" s="90">
        <v>0</v>
      </c>
      <c r="BY14" s="258">
        <f>+BX14+BN14</f>
        <v>104640.85</v>
      </c>
      <c r="BZ14" s="120" t="s">
        <v>24</v>
      </c>
      <c r="CA14" s="81">
        <v>135000</v>
      </c>
      <c r="CB14" s="38">
        <f t="shared" si="12"/>
        <v>3105.63</v>
      </c>
      <c r="CC14" s="85">
        <f t="shared" si="13"/>
        <v>107746.48000000001</v>
      </c>
      <c r="CD14" s="203">
        <f t="shared" si="14"/>
        <v>0.7981220740740742</v>
      </c>
      <c r="CE14" s="172">
        <v>0</v>
      </c>
      <c r="CF14" s="173">
        <v>0</v>
      </c>
      <c r="CG14" s="174">
        <f t="shared" si="15"/>
        <v>0</v>
      </c>
      <c r="CH14" s="208">
        <f>+CG14/CG51</f>
        <v>0</v>
      </c>
      <c r="CI14" s="90">
        <v>3105.63</v>
      </c>
      <c r="CJ14" s="258">
        <f t="shared" si="16"/>
        <v>107746.48000000001</v>
      </c>
      <c r="CK14" s="120" t="s">
        <v>24</v>
      </c>
      <c r="CL14" s="81">
        <v>135000</v>
      </c>
      <c r="CM14" s="38">
        <f t="shared" si="17"/>
        <v>0</v>
      </c>
      <c r="CN14" s="85">
        <f t="shared" si="18"/>
        <v>107746.48000000001</v>
      </c>
      <c r="CO14" s="203">
        <f t="shared" si="19"/>
        <v>0.7981220740740742</v>
      </c>
      <c r="CP14" s="172">
        <v>0</v>
      </c>
      <c r="CQ14" s="173">
        <v>0</v>
      </c>
      <c r="CR14" s="174">
        <f t="shared" si="20"/>
        <v>0</v>
      </c>
      <c r="CS14" s="208">
        <f>+CR14/CR51</f>
        <v>0</v>
      </c>
      <c r="CT14" s="90">
        <v>0</v>
      </c>
      <c r="CU14" s="258">
        <f t="shared" si="21"/>
        <v>107746.48000000001</v>
      </c>
      <c r="CV14" s="120" t="s">
        <v>24</v>
      </c>
      <c r="CW14" s="81">
        <v>135000</v>
      </c>
      <c r="CX14" s="38">
        <f t="shared" si="22"/>
        <v>58471</v>
      </c>
      <c r="CY14" s="85">
        <f t="shared" si="23"/>
        <v>166217.48</v>
      </c>
      <c r="CZ14" s="203">
        <f t="shared" si="24"/>
        <v>1.2312405925925927</v>
      </c>
      <c r="DA14" s="172">
        <v>0</v>
      </c>
      <c r="DB14" s="173">
        <v>0</v>
      </c>
      <c r="DC14" s="174">
        <f t="shared" si="25"/>
        <v>0</v>
      </c>
      <c r="DD14" s="208">
        <f>+DC14/DC51</f>
        <v>0</v>
      </c>
      <c r="DE14" s="90">
        <v>58471</v>
      </c>
      <c r="DF14" s="258">
        <f t="shared" si="26"/>
        <v>166217.48</v>
      </c>
      <c r="DG14" s="120" t="s">
        <v>24</v>
      </c>
      <c r="DH14" s="81">
        <v>135000</v>
      </c>
      <c r="DI14" s="283">
        <v>22190.42</v>
      </c>
      <c r="DJ14" s="85">
        <f t="shared" si="53"/>
        <v>166217.48</v>
      </c>
      <c r="DK14" s="203">
        <f t="shared" si="27"/>
        <v>1.2312405925925927</v>
      </c>
      <c r="DL14" s="172">
        <v>0</v>
      </c>
      <c r="DM14" s="173">
        <v>0</v>
      </c>
      <c r="DN14" s="174">
        <f t="shared" si="28"/>
        <v>0</v>
      </c>
      <c r="DO14" s="208">
        <f>+DN14/DN51</f>
        <v>0</v>
      </c>
      <c r="DP14" s="90">
        <v>0</v>
      </c>
      <c r="DQ14" s="258">
        <f t="shared" si="50"/>
        <v>166217.48</v>
      </c>
    </row>
    <row r="15" spans="1:121" ht="21">
      <c r="A15" s="120" t="s">
        <v>25</v>
      </c>
      <c r="B15" s="81">
        <v>2577063.6</v>
      </c>
      <c r="C15" s="38">
        <f t="shared" si="29"/>
        <v>219658</v>
      </c>
      <c r="D15" s="85">
        <f t="shared" si="30"/>
        <v>219658</v>
      </c>
      <c r="E15" s="203">
        <f t="shared" si="0"/>
        <v>0.08523576988941987</v>
      </c>
      <c r="F15" s="172">
        <v>157000</v>
      </c>
      <c r="G15" s="173">
        <v>0</v>
      </c>
      <c r="H15" s="174">
        <f t="shared" si="31"/>
        <v>0</v>
      </c>
      <c r="I15" s="208">
        <f>+H15/F15</f>
        <v>0</v>
      </c>
      <c r="J15" s="90">
        <v>219658</v>
      </c>
      <c r="K15" s="85">
        <f t="shared" si="32"/>
        <v>219658</v>
      </c>
      <c r="L15" s="120" t="s">
        <v>25</v>
      </c>
      <c r="M15" s="81">
        <v>2577063.6</v>
      </c>
      <c r="N15" s="38">
        <f t="shared" si="33"/>
        <v>218047</v>
      </c>
      <c r="O15" s="85">
        <f t="shared" si="34"/>
        <v>437705</v>
      </c>
      <c r="P15" s="203">
        <f t="shared" si="1"/>
        <v>0.16984640968891881</v>
      </c>
      <c r="Q15" s="172">
        <v>157000</v>
      </c>
      <c r="R15" s="173">
        <v>0</v>
      </c>
      <c r="S15" s="174">
        <f t="shared" si="35"/>
        <v>0</v>
      </c>
      <c r="T15" s="208">
        <f>+S15/Q15</f>
        <v>0</v>
      </c>
      <c r="U15" s="90">
        <v>218047</v>
      </c>
      <c r="V15" s="85">
        <f t="shared" si="36"/>
        <v>437705</v>
      </c>
      <c r="W15" s="120" t="s">
        <v>25</v>
      </c>
      <c r="X15" s="81">
        <v>2577063.6</v>
      </c>
      <c r="Y15" s="38">
        <f t="shared" si="37"/>
        <v>199714</v>
      </c>
      <c r="Z15" s="85">
        <f t="shared" si="38"/>
        <v>637419</v>
      </c>
      <c r="AA15" s="203">
        <f t="shared" si="2"/>
        <v>0.24734313891205478</v>
      </c>
      <c r="AB15" s="172">
        <v>157000</v>
      </c>
      <c r="AC15" s="173">
        <v>0</v>
      </c>
      <c r="AD15" s="174">
        <f t="shared" si="39"/>
        <v>0</v>
      </c>
      <c r="AE15" s="208">
        <f>+AD15/AB15</f>
        <v>0</v>
      </c>
      <c r="AF15" s="90">
        <v>199714</v>
      </c>
      <c r="AG15" s="85">
        <f t="shared" si="40"/>
        <v>637419</v>
      </c>
      <c r="AH15" s="120" t="s">
        <v>25</v>
      </c>
      <c r="AI15" s="81">
        <v>2577063.6</v>
      </c>
      <c r="AJ15" s="38">
        <f t="shared" si="41"/>
        <v>204996</v>
      </c>
      <c r="AK15" s="85">
        <f t="shared" si="42"/>
        <v>842415</v>
      </c>
      <c r="AL15" s="203">
        <f t="shared" si="3"/>
        <v>0.3268894877099657</v>
      </c>
      <c r="AM15" s="172">
        <v>157000</v>
      </c>
      <c r="AN15" s="173">
        <v>0</v>
      </c>
      <c r="AO15" s="174">
        <f t="shared" si="43"/>
        <v>0</v>
      </c>
      <c r="AP15" s="208">
        <f>+AO15/AM15</f>
        <v>0</v>
      </c>
      <c r="AQ15" s="90">
        <v>204996</v>
      </c>
      <c r="AR15" s="85">
        <f t="shared" si="44"/>
        <v>842415</v>
      </c>
      <c r="AS15" s="120" t="s">
        <v>25</v>
      </c>
      <c r="AT15" s="81">
        <v>2600000</v>
      </c>
      <c r="AU15" s="38">
        <f t="shared" si="45"/>
        <v>143607</v>
      </c>
      <c r="AV15" s="85">
        <f>+BC15-AZ15</f>
        <v>986022</v>
      </c>
      <c r="AW15" s="203">
        <f t="shared" si="4"/>
        <v>0.3792392307692308</v>
      </c>
      <c r="AX15" s="172">
        <v>157000</v>
      </c>
      <c r="AY15" s="173">
        <v>0</v>
      </c>
      <c r="AZ15" s="174">
        <f t="shared" si="47"/>
        <v>0</v>
      </c>
      <c r="BA15" s="208">
        <f>+AZ15/AX15</f>
        <v>0</v>
      </c>
      <c r="BB15" s="90">
        <v>143607</v>
      </c>
      <c r="BC15" s="258">
        <f t="shared" si="51"/>
        <v>986022</v>
      </c>
      <c r="BD15" s="120" t="s">
        <v>25</v>
      </c>
      <c r="BE15" s="81">
        <v>2600000</v>
      </c>
      <c r="BF15" s="38">
        <f t="shared" si="5"/>
        <v>156811</v>
      </c>
      <c r="BG15" s="85">
        <f t="shared" si="5"/>
        <v>1142833</v>
      </c>
      <c r="BH15" s="203">
        <f t="shared" si="6"/>
        <v>0.43955115384615384</v>
      </c>
      <c r="BI15" s="172">
        <v>157000</v>
      </c>
      <c r="BJ15" s="173">
        <v>0</v>
      </c>
      <c r="BK15" s="174">
        <f t="shared" si="48"/>
        <v>0</v>
      </c>
      <c r="BL15" s="208">
        <f>+BK15/BI15</f>
        <v>0</v>
      </c>
      <c r="BM15" s="90">
        <v>156811</v>
      </c>
      <c r="BN15" s="258">
        <f t="shared" si="7"/>
        <v>1142833</v>
      </c>
      <c r="BO15" s="120" t="s">
        <v>25</v>
      </c>
      <c r="BP15" s="81">
        <v>2600000</v>
      </c>
      <c r="BQ15" s="38">
        <f t="shared" si="8"/>
        <v>249113</v>
      </c>
      <c r="BR15" s="85">
        <f>+BY15-BV15</f>
        <v>1391946</v>
      </c>
      <c r="BS15" s="203">
        <f t="shared" si="10"/>
        <v>0.5353638461538461</v>
      </c>
      <c r="BT15" s="172">
        <v>157000</v>
      </c>
      <c r="BU15" s="173">
        <v>0</v>
      </c>
      <c r="BV15" s="174">
        <f t="shared" si="49"/>
        <v>0</v>
      </c>
      <c r="BW15" s="208">
        <f>+BV15/BT15</f>
        <v>0</v>
      </c>
      <c r="BX15" s="90">
        <v>249113</v>
      </c>
      <c r="BY15" s="258">
        <f>+BX15+BN15</f>
        <v>1391946</v>
      </c>
      <c r="BZ15" s="120" t="s">
        <v>25</v>
      </c>
      <c r="CA15" s="81">
        <v>2600000</v>
      </c>
      <c r="CB15" s="38">
        <f t="shared" si="12"/>
        <v>250927</v>
      </c>
      <c r="CC15" s="85">
        <f t="shared" si="13"/>
        <v>1642873</v>
      </c>
      <c r="CD15" s="203">
        <f t="shared" si="14"/>
        <v>0.6318742307692308</v>
      </c>
      <c r="CE15" s="172">
        <v>157000</v>
      </c>
      <c r="CF15" s="173">
        <v>0</v>
      </c>
      <c r="CG15" s="174">
        <f t="shared" si="15"/>
        <v>0</v>
      </c>
      <c r="CH15" s="208">
        <f>+CG15/CE15</f>
        <v>0</v>
      </c>
      <c r="CI15" s="90">
        <v>250927</v>
      </c>
      <c r="CJ15" s="258">
        <f t="shared" si="16"/>
        <v>1642873</v>
      </c>
      <c r="CK15" s="120" t="s">
        <v>25</v>
      </c>
      <c r="CL15" s="81">
        <v>2600000</v>
      </c>
      <c r="CM15" s="38">
        <f t="shared" si="17"/>
        <v>252436</v>
      </c>
      <c r="CN15" s="85">
        <f t="shared" si="18"/>
        <v>1895309</v>
      </c>
      <c r="CO15" s="203">
        <f t="shared" si="19"/>
        <v>0.728965</v>
      </c>
      <c r="CP15" s="172">
        <v>157000</v>
      </c>
      <c r="CQ15" s="173">
        <v>0</v>
      </c>
      <c r="CR15" s="174">
        <f t="shared" si="20"/>
        <v>0</v>
      </c>
      <c r="CS15" s="208">
        <f>+CR15/CP15</f>
        <v>0</v>
      </c>
      <c r="CT15" s="90">
        <v>252436</v>
      </c>
      <c r="CU15" s="258">
        <f t="shared" si="21"/>
        <v>1895309</v>
      </c>
      <c r="CV15" s="120" t="s">
        <v>25</v>
      </c>
      <c r="CW15" s="81">
        <v>2600000</v>
      </c>
      <c r="CX15" s="38">
        <f t="shared" si="22"/>
        <v>214559</v>
      </c>
      <c r="CY15" s="85">
        <f t="shared" si="23"/>
        <v>2109868</v>
      </c>
      <c r="CZ15" s="203">
        <f t="shared" si="24"/>
        <v>0.8114876923076924</v>
      </c>
      <c r="DA15" s="172">
        <v>157000</v>
      </c>
      <c r="DB15" s="173">
        <v>0</v>
      </c>
      <c r="DC15" s="174">
        <f t="shared" si="25"/>
        <v>0</v>
      </c>
      <c r="DD15" s="208">
        <f>+DC15/DA15</f>
        <v>0</v>
      </c>
      <c r="DE15" s="90">
        <v>214559</v>
      </c>
      <c r="DF15" s="258">
        <f t="shared" si="26"/>
        <v>2109868</v>
      </c>
      <c r="DG15" s="120" t="s">
        <v>25</v>
      </c>
      <c r="DH15" s="81">
        <v>2600000</v>
      </c>
      <c r="DI15" s="283">
        <v>184982</v>
      </c>
      <c r="DJ15" s="85">
        <f t="shared" si="53"/>
        <v>2356275</v>
      </c>
      <c r="DK15" s="203">
        <f t="shared" si="27"/>
        <v>0.9062596153846154</v>
      </c>
      <c r="DL15" s="172">
        <v>157000</v>
      </c>
      <c r="DM15" s="173">
        <v>0</v>
      </c>
      <c r="DN15" s="174">
        <f t="shared" si="28"/>
        <v>0</v>
      </c>
      <c r="DO15" s="208">
        <f>+DN15/DL15</f>
        <v>0</v>
      </c>
      <c r="DP15" s="90">
        <v>246407</v>
      </c>
      <c r="DQ15" s="258">
        <f t="shared" si="50"/>
        <v>2356275</v>
      </c>
    </row>
    <row r="16" spans="1:121" ht="21">
      <c r="A16" s="120" t="s">
        <v>75</v>
      </c>
      <c r="B16" s="81">
        <v>0</v>
      </c>
      <c r="C16" s="38">
        <f t="shared" si="29"/>
        <v>0</v>
      </c>
      <c r="D16" s="85">
        <f t="shared" si="30"/>
        <v>0</v>
      </c>
      <c r="E16" s="203">
        <v>0</v>
      </c>
      <c r="F16" s="172">
        <v>0</v>
      </c>
      <c r="G16" s="173">
        <v>0</v>
      </c>
      <c r="H16" s="174">
        <f t="shared" si="31"/>
        <v>0</v>
      </c>
      <c r="I16" s="208">
        <f>+H16/H51</f>
        <v>0</v>
      </c>
      <c r="J16" s="90">
        <v>0</v>
      </c>
      <c r="K16" s="85">
        <f t="shared" si="32"/>
        <v>0</v>
      </c>
      <c r="L16" s="120" t="s">
        <v>75</v>
      </c>
      <c r="M16" s="81">
        <v>0</v>
      </c>
      <c r="N16" s="38">
        <f t="shared" si="33"/>
        <v>0</v>
      </c>
      <c r="O16" s="85">
        <f t="shared" si="34"/>
        <v>0</v>
      </c>
      <c r="P16" s="203">
        <v>0</v>
      </c>
      <c r="Q16" s="172">
        <v>0</v>
      </c>
      <c r="R16" s="173">
        <v>0</v>
      </c>
      <c r="S16" s="174">
        <f t="shared" si="35"/>
        <v>0</v>
      </c>
      <c r="T16" s="208">
        <f>+S16/S51</f>
        <v>0</v>
      </c>
      <c r="U16" s="90">
        <v>0</v>
      </c>
      <c r="V16" s="85">
        <f t="shared" si="36"/>
        <v>0</v>
      </c>
      <c r="W16" s="120" t="s">
        <v>75</v>
      </c>
      <c r="X16" s="81">
        <v>0</v>
      </c>
      <c r="Y16" s="38">
        <f t="shared" si="37"/>
        <v>0</v>
      </c>
      <c r="Z16" s="85">
        <f t="shared" si="38"/>
        <v>0</v>
      </c>
      <c r="AA16" s="203">
        <v>0</v>
      </c>
      <c r="AB16" s="172">
        <v>0</v>
      </c>
      <c r="AC16" s="173">
        <v>0</v>
      </c>
      <c r="AD16" s="174">
        <f t="shared" si="39"/>
        <v>0</v>
      </c>
      <c r="AE16" s="208">
        <f>+AD16/AD51</f>
        <v>0</v>
      </c>
      <c r="AF16" s="90">
        <v>0</v>
      </c>
      <c r="AG16" s="85">
        <f t="shared" si="40"/>
        <v>0</v>
      </c>
      <c r="AH16" s="120" t="s">
        <v>75</v>
      </c>
      <c r="AI16" s="81">
        <v>0</v>
      </c>
      <c r="AJ16" s="38">
        <f t="shared" si="41"/>
        <v>0</v>
      </c>
      <c r="AK16" s="85">
        <f t="shared" si="42"/>
        <v>0</v>
      </c>
      <c r="AL16" s="203">
        <v>0</v>
      </c>
      <c r="AM16" s="172">
        <v>0</v>
      </c>
      <c r="AN16" s="173">
        <v>0</v>
      </c>
      <c r="AO16" s="174">
        <f t="shared" si="43"/>
        <v>0</v>
      </c>
      <c r="AP16" s="208">
        <f>+AO16/AO51</f>
        <v>0</v>
      </c>
      <c r="AQ16" s="90">
        <v>0</v>
      </c>
      <c r="AR16" s="85">
        <f t="shared" si="44"/>
        <v>0</v>
      </c>
      <c r="AS16" s="120" t="s">
        <v>75</v>
      </c>
      <c r="AT16" s="81">
        <v>0</v>
      </c>
      <c r="AU16" s="38">
        <f t="shared" si="45"/>
        <v>0</v>
      </c>
      <c r="AV16" s="85">
        <f t="shared" si="46"/>
        <v>0</v>
      </c>
      <c r="AW16" s="203">
        <v>0</v>
      </c>
      <c r="AX16" s="172">
        <v>0</v>
      </c>
      <c r="AY16" s="173">
        <v>0</v>
      </c>
      <c r="AZ16" s="174">
        <f t="shared" si="47"/>
        <v>0</v>
      </c>
      <c r="BA16" s="208">
        <f>+AZ16/AZ51</f>
        <v>0</v>
      </c>
      <c r="BB16" s="90">
        <v>0</v>
      </c>
      <c r="BC16" s="258">
        <f t="shared" si="51"/>
        <v>0</v>
      </c>
      <c r="BD16" s="120" t="s">
        <v>75</v>
      </c>
      <c r="BE16" s="81">
        <v>0</v>
      </c>
      <c r="BF16" s="38">
        <f>+BM16-BJ16</f>
        <v>0</v>
      </c>
      <c r="BG16" s="85">
        <f aca="true" t="shared" si="54" ref="BG16:BG44">+BN16-BK16</f>
        <v>0</v>
      </c>
      <c r="BH16" s="203">
        <v>0</v>
      </c>
      <c r="BI16" s="172">
        <v>0</v>
      </c>
      <c r="BJ16" s="173">
        <v>0</v>
      </c>
      <c r="BK16" s="174">
        <f t="shared" si="48"/>
        <v>0</v>
      </c>
      <c r="BL16" s="208">
        <f>+BK16/BK51</f>
        <v>0</v>
      </c>
      <c r="BM16" s="90">
        <v>0</v>
      </c>
      <c r="BN16" s="258">
        <f t="shared" si="7"/>
        <v>0</v>
      </c>
      <c r="BO16" s="120" t="s">
        <v>75</v>
      </c>
      <c r="BP16" s="81">
        <v>0</v>
      </c>
      <c r="BQ16" s="38">
        <f>+BX16-BU16</f>
        <v>0</v>
      </c>
      <c r="BR16" s="85">
        <f t="shared" si="9"/>
        <v>0</v>
      </c>
      <c r="BS16" s="203">
        <v>0</v>
      </c>
      <c r="BT16" s="172">
        <v>0</v>
      </c>
      <c r="BU16" s="173">
        <v>0</v>
      </c>
      <c r="BV16" s="174">
        <f t="shared" si="49"/>
        <v>0</v>
      </c>
      <c r="BW16" s="208">
        <f>+BV16/BV51</f>
        <v>0</v>
      </c>
      <c r="BX16" s="90">
        <v>0</v>
      </c>
      <c r="BY16" s="258">
        <f t="shared" si="11"/>
        <v>0</v>
      </c>
      <c r="BZ16" s="120" t="s">
        <v>75</v>
      </c>
      <c r="CA16" s="81">
        <v>0</v>
      </c>
      <c r="CB16" s="38">
        <f>+CI16-CF16</f>
        <v>0</v>
      </c>
      <c r="CC16" s="85">
        <f t="shared" si="13"/>
        <v>0</v>
      </c>
      <c r="CD16" s="203">
        <v>0</v>
      </c>
      <c r="CE16" s="172">
        <v>0</v>
      </c>
      <c r="CF16" s="173">
        <v>0</v>
      </c>
      <c r="CG16" s="174">
        <f t="shared" si="15"/>
        <v>0</v>
      </c>
      <c r="CH16" s="208">
        <f>+CG16/CG51</f>
        <v>0</v>
      </c>
      <c r="CI16" s="90">
        <v>0</v>
      </c>
      <c r="CJ16" s="258">
        <f t="shared" si="16"/>
        <v>0</v>
      </c>
      <c r="CK16" s="120" t="s">
        <v>75</v>
      </c>
      <c r="CL16" s="81">
        <v>0</v>
      </c>
      <c r="CM16" s="38">
        <f aca="true" t="shared" si="55" ref="CM16:CM24">+CT16-CQ16</f>
        <v>0</v>
      </c>
      <c r="CN16" s="85">
        <f t="shared" si="18"/>
        <v>0</v>
      </c>
      <c r="CO16" s="203">
        <v>0</v>
      </c>
      <c r="CP16" s="172">
        <v>0</v>
      </c>
      <c r="CQ16" s="173">
        <v>0</v>
      </c>
      <c r="CR16" s="174">
        <f t="shared" si="20"/>
        <v>0</v>
      </c>
      <c r="CS16" s="208">
        <f>+CR16/CR51</f>
        <v>0</v>
      </c>
      <c r="CT16" s="90">
        <v>0</v>
      </c>
      <c r="CU16" s="258">
        <f t="shared" si="21"/>
        <v>0</v>
      </c>
      <c r="CV16" s="120" t="s">
        <v>75</v>
      </c>
      <c r="CW16" s="81">
        <v>0</v>
      </c>
      <c r="CX16" s="38">
        <f t="shared" si="22"/>
        <v>0</v>
      </c>
      <c r="CY16" s="85">
        <f t="shared" si="23"/>
        <v>0</v>
      </c>
      <c r="CZ16" s="203">
        <v>0</v>
      </c>
      <c r="DA16" s="172">
        <v>0</v>
      </c>
      <c r="DB16" s="173">
        <v>0</v>
      </c>
      <c r="DC16" s="174">
        <f t="shared" si="25"/>
        <v>0</v>
      </c>
      <c r="DD16" s="208">
        <f>+DC16/DC51</f>
        <v>0</v>
      </c>
      <c r="DE16" s="90">
        <v>0</v>
      </c>
      <c r="DF16" s="258">
        <f t="shared" si="26"/>
        <v>0</v>
      </c>
      <c r="DG16" s="120" t="s">
        <v>75</v>
      </c>
      <c r="DH16" s="81">
        <v>0</v>
      </c>
      <c r="DI16" s="283">
        <f t="shared" si="52"/>
        <v>0</v>
      </c>
      <c r="DJ16" s="85">
        <f t="shared" si="53"/>
        <v>0</v>
      </c>
      <c r="DK16" s="203">
        <v>0</v>
      </c>
      <c r="DL16" s="172">
        <v>0</v>
      </c>
      <c r="DM16" s="173">
        <v>0</v>
      </c>
      <c r="DN16" s="174">
        <f t="shared" si="28"/>
        <v>0</v>
      </c>
      <c r="DO16" s="208">
        <f>+DN16/DN51</f>
        <v>0</v>
      </c>
      <c r="DP16" s="90">
        <v>0</v>
      </c>
      <c r="DQ16" s="258">
        <f t="shared" si="50"/>
        <v>0</v>
      </c>
    </row>
    <row r="17" spans="1:121" ht="21">
      <c r="A17" s="120" t="s">
        <v>26</v>
      </c>
      <c r="B17" s="81">
        <v>1320</v>
      </c>
      <c r="C17" s="38">
        <f t="shared" si="29"/>
        <v>0</v>
      </c>
      <c r="D17" s="85">
        <f t="shared" si="30"/>
        <v>0</v>
      </c>
      <c r="E17" s="203">
        <f>+D17/B24</f>
        <v>0</v>
      </c>
      <c r="F17" s="172">
        <v>0</v>
      </c>
      <c r="G17" s="173">
        <v>0</v>
      </c>
      <c r="H17" s="174">
        <f t="shared" si="31"/>
        <v>0</v>
      </c>
      <c r="I17" s="208">
        <f>+H17/H51</f>
        <v>0</v>
      </c>
      <c r="J17" s="90">
        <v>0</v>
      </c>
      <c r="K17" s="85">
        <f t="shared" si="32"/>
        <v>0</v>
      </c>
      <c r="L17" s="120" t="s">
        <v>26</v>
      </c>
      <c r="M17" s="81">
        <v>1320</v>
      </c>
      <c r="N17" s="38">
        <f t="shared" si="33"/>
        <v>0</v>
      </c>
      <c r="O17" s="85">
        <f t="shared" si="34"/>
        <v>0</v>
      </c>
      <c r="P17" s="203">
        <f>+O17/M24</f>
        <v>0</v>
      </c>
      <c r="Q17" s="172">
        <v>0</v>
      </c>
      <c r="R17" s="173">
        <v>0</v>
      </c>
      <c r="S17" s="174">
        <f t="shared" si="35"/>
        <v>0</v>
      </c>
      <c r="T17" s="208">
        <f>+S17/S51</f>
        <v>0</v>
      </c>
      <c r="U17" s="90">
        <v>0</v>
      </c>
      <c r="V17" s="85">
        <f t="shared" si="36"/>
        <v>0</v>
      </c>
      <c r="W17" s="120" t="s">
        <v>26</v>
      </c>
      <c r="X17" s="81">
        <v>1320</v>
      </c>
      <c r="Y17" s="38">
        <f t="shared" si="37"/>
        <v>0</v>
      </c>
      <c r="Z17" s="85">
        <f t="shared" si="38"/>
        <v>0</v>
      </c>
      <c r="AA17" s="203">
        <f>+Z17/X24</f>
        <v>0</v>
      </c>
      <c r="AB17" s="172">
        <v>0</v>
      </c>
      <c r="AC17" s="173">
        <v>0</v>
      </c>
      <c r="AD17" s="174">
        <f t="shared" si="39"/>
        <v>0</v>
      </c>
      <c r="AE17" s="208">
        <f>+AD17/AD51</f>
        <v>0</v>
      </c>
      <c r="AF17" s="90">
        <v>0</v>
      </c>
      <c r="AG17" s="85">
        <f t="shared" si="40"/>
        <v>0</v>
      </c>
      <c r="AH17" s="120" t="s">
        <v>26</v>
      </c>
      <c r="AI17" s="81">
        <v>1320</v>
      </c>
      <c r="AJ17" s="38">
        <f t="shared" si="41"/>
        <v>0</v>
      </c>
      <c r="AK17" s="85">
        <f t="shared" si="42"/>
        <v>0</v>
      </c>
      <c r="AL17" s="203">
        <f>+AK17/AI24</f>
        <v>0</v>
      </c>
      <c r="AM17" s="172">
        <v>0</v>
      </c>
      <c r="AN17" s="173">
        <v>0</v>
      </c>
      <c r="AO17" s="174">
        <f t="shared" si="43"/>
        <v>0</v>
      </c>
      <c r="AP17" s="208">
        <f>+AO17/AO51</f>
        <v>0</v>
      </c>
      <c r="AQ17" s="90">
        <v>0</v>
      </c>
      <c r="AR17" s="85">
        <f t="shared" si="44"/>
        <v>0</v>
      </c>
      <c r="AS17" s="120" t="s">
        <v>26</v>
      </c>
      <c r="AT17" s="81">
        <v>1800</v>
      </c>
      <c r="AU17" s="38">
        <f t="shared" si="45"/>
        <v>795</v>
      </c>
      <c r="AV17" s="85">
        <f t="shared" si="46"/>
        <v>795</v>
      </c>
      <c r="AW17" s="203">
        <f>+AV17/AT24</f>
        <v>0.0019865067466266866</v>
      </c>
      <c r="AX17" s="172">
        <v>0</v>
      </c>
      <c r="AY17" s="173">
        <v>0</v>
      </c>
      <c r="AZ17" s="174">
        <f t="shared" si="47"/>
        <v>0</v>
      </c>
      <c r="BA17" s="208">
        <f>+AZ17/AZ51</f>
        <v>0</v>
      </c>
      <c r="BB17" s="90">
        <v>795</v>
      </c>
      <c r="BC17" s="258">
        <f t="shared" si="51"/>
        <v>795</v>
      </c>
      <c r="BD17" s="120" t="s">
        <v>26</v>
      </c>
      <c r="BE17" s="81">
        <v>1800</v>
      </c>
      <c r="BF17" s="38">
        <f>+BM17-BJ17</f>
        <v>0</v>
      </c>
      <c r="BG17" s="85">
        <f t="shared" si="54"/>
        <v>795</v>
      </c>
      <c r="BH17" s="203">
        <f>+BG17/BE24</f>
        <v>0.0019865067466266866</v>
      </c>
      <c r="BI17" s="172">
        <v>0</v>
      </c>
      <c r="BJ17" s="173">
        <v>0</v>
      </c>
      <c r="BK17" s="174">
        <f t="shared" si="48"/>
        <v>0</v>
      </c>
      <c r="BL17" s="208">
        <f>+BK17/BK51</f>
        <v>0</v>
      </c>
      <c r="BM17" s="90">
        <v>0</v>
      </c>
      <c r="BN17" s="258">
        <f t="shared" si="7"/>
        <v>795</v>
      </c>
      <c r="BO17" s="120" t="s">
        <v>26</v>
      </c>
      <c r="BP17" s="81">
        <v>1800</v>
      </c>
      <c r="BQ17" s="38">
        <f>+BX17-BU17</f>
        <v>0</v>
      </c>
      <c r="BR17" s="85">
        <f t="shared" si="9"/>
        <v>795</v>
      </c>
      <c r="BS17" s="203">
        <f>+BR17/BP24</f>
        <v>0.0019865067466266866</v>
      </c>
      <c r="BT17" s="172">
        <v>0</v>
      </c>
      <c r="BU17" s="173">
        <v>0</v>
      </c>
      <c r="BV17" s="174">
        <f t="shared" si="49"/>
        <v>0</v>
      </c>
      <c r="BW17" s="208">
        <f>+BV17/BV51</f>
        <v>0</v>
      </c>
      <c r="BX17" s="90">
        <v>0</v>
      </c>
      <c r="BY17" s="258">
        <f t="shared" si="11"/>
        <v>795</v>
      </c>
      <c r="BZ17" s="120" t="s">
        <v>26</v>
      </c>
      <c r="CA17" s="81">
        <v>1800</v>
      </c>
      <c r="CB17" s="38">
        <f>+CI17-CF17</f>
        <v>0</v>
      </c>
      <c r="CC17" s="85">
        <f t="shared" si="13"/>
        <v>795</v>
      </c>
      <c r="CD17" s="203">
        <f>+CC17/CA24</f>
        <v>0.0019865067466266866</v>
      </c>
      <c r="CE17" s="172">
        <v>0</v>
      </c>
      <c r="CF17" s="173">
        <v>0</v>
      </c>
      <c r="CG17" s="174">
        <f t="shared" si="15"/>
        <v>0</v>
      </c>
      <c r="CH17" s="208">
        <f>+CG17/CG51</f>
        <v>0</v>
      </c>
      <c r="CI17" s="90">
        <v>0</v>
      </c>
      <c r="CJ17" s="258">
        <f t="shared" si="16"/>
        <v>795</v>
      </c>
      <c r="CK17" s="120" t="s">
        <v>26</v>
      </c>
      <c r="CL17" s="81">
        <v>1800</v>
      </c>
      <c r="CM17" s="38">
        <f t="shared" si="55"/>
        <v>0</v>
      </c>
      <c r="CN17" s="85">
        <f t="shared" si="18"/>
        <v>795</v>
      </c>
      <c r="CO17" s="203">
        <f>+CN17/CL24</f>
        <v>0.0019865067466266866</v>
      </c>
      <c r="CP17" s="172">
        <v>0</v>
      </c>
      <c r="CQ17" s="173">
        <v>0</v>
      </c>
      <c r="CR17" s="174">
        <f t="shared" si="20"/>
        <v>0</v>
      </c>
      <c r="CS17" s="208">
        <f>+CR17/CR51</f>
        <v>0</v>
      </c>
      <c r="CT17" s="90">
        <v>0</v>
      </c>
      <c r="CU17" s="258">
        <f t="shared" si="21"/>
        <v>795</v>
      </c>
      <c r="CV17" s="120" t="s">
        <v>26</v>
      </c>
      <c r="CW17" s="81">
        <v>1800</v>
      </c>
      <c r="CX17" s="38">
        <f t="shared" si="22"/>
        <v>0</v>
      </c>
      <c r="CY17" s="85">
        <f t="shared" si="23"/>
        <v>795</v>
      </c>
      <c r="CZ17" s="203">
        <f>+CY17/CW24</f>
        <v>0.0019865067466266866</v>
      </c>
      <c r="DA17" s="172">
        <v>0</v>
      </c>
      <c r="DB17" s="173">
        <v>0</v>
      </c>
      <c r="DC17" s="174">
        <f t="shared" si="25"/>
        <v>0</v>
      </c>
      <c r="DD17" s="208">
        <f>+DC17/DC51</f>
        <v>0</v>
      </c>
      <c r="DE17" s="90">
        <v>0</v>
      </c>
      <c r="DF17" s="258">
        <f t="shared" si="26"/>
        <v>795</v>
      </c>
      <c r="DG17" s="120" t="s">
        <v>26</v>
      </c>
      <c r="DH17" s="81">
        <v>1800</v>
      </c>
      <c r="DI17" s="283">
        <f t="shared" si="52"/>
        <v>0</v>
      </c>
      <c r="DJ17" s="85">
        <f t="shared" si="53"/>
        <v>795</v>
      </c>
      <c r="DK17" s="203">
        <f>+DJ17/DH24</f>
        <v>0.0019865067466266866</v>
      </c>
      <c r="DL17" s="172">
        <v>0</v>
      </c>
      <c r="DM17" s="173">
        <v>0</v>
      </c>
      <c r="DN17" s="174">
        <f t="shared" si="28"/>
        <v>0</v>
      </c>
      <c r="DO17" s="208">
        <f>+DN17/DN51</f>
        <v>0</v>
      </c>
      <c r="DP17" s="90">
        <v>0</v>
      </c>
      <c r="DQ17" s="258">
        <f t="shared" si="50"/>
        <v>795</v>
      </c>
    </row>
    <row r="18" spans="1:121" ht="21">
      <c r="A18" s="120" t="s">
        <v>106</v>
      </c>
      <c r="B18" s="81">
        <v>41162100.04</v>
      </c>
      <c r="C18" s="38">
        <f t="shared" si="29"/>
        <v>0</v>
      </c>
      <c r="D18" s="85">
        <f t="shared" si="30"/>
        <v>0</v>
      </c>
      <c r="E18" s="203">
        <f>+D18/B18</f>
        <v>0</v>
      </c>
      <c r="F18" s="172">
        <v>3192000</v>
      </c>
      <c r="G18" s="173">
        <v>0</v>
      </c>
      <c r="H18" s="174">
        <f t="shared" si="31"/>
        <v>0</v>
      </c>
      <c r="I18" s="208">
        <f>+H18/F18</f>
        <v>0</v>
      </c>
      <c r="J18" s="90">
        <f>+'[1]งบทดลอง-โปรแกรม61'!$F$141</f>
        <v>0</v>
      </c>
      <c r="K18" s="85">
        <f t="shared" si="32"/>
        <v>0</v>
      </c>
      <c r="L18" s="120" t="s">
        <v>106</v>
      </c>
      <c r="M18" s="81">
        <v>41162100.04</v>
      </c>
      <c r="N18" s="38">
        <f t="shared" si="33"/>
        <v>1103440.8399999999</v>
      </c>
      <c r="O18" s="85">
        <f t="shared" si="34"/>
        <v>1103440.8399999999</v>
      </c>
      <c r="P18" s="203">
        <f>+O18/M18</f>
        <v>0.02680720465981356</v>
      </c>
      <c r="Q18" s="172">
        <v>3192000</v>
      </c>
      <c r="R18" s="173">
        <v>1143.84</v>
      </c>
      <c r="S18" s="174">
        <f t="shared" si="35"/>
        <v>1143.84</v>
      </c>
      <c r="T18" s="208">
        <f>+S18/Q18</f>
        <v>0.0003583458646616541</v>
      </c>
      <c r="U18" s="90">
        <v>1104584.68</v>
      </c>
      <c r="V18" s="85">
        <f t="shared" si="36"/>
        <v>1104584.68</v>
      </c>
      <c r="W18" s="120" t="s">
        <v>106</v>
      </c>
      <c r="X18" s="81">
        <v>41162100.04</v>
      </c>
      <c r="Y18" s="38">
        <f t="shared" si="37"/>
        <v>3780097.9000000004</v>
      </c>
      <c r="Z18" s="85">
        <f t="shared" si="38"/>
        <v>4883538.74</v>
      </c>
      <c r="AA18" s="203">
        <f>+Z18/X18</f>
        <v>0.11864163235729798</v>
      </c>
      <c r="AB18" s="172">
        <v>3192000</v>
      </c>
      <c r="AC18" s="173">
        <v>278340.47</v>
      </c>
      <c r="AD18" s="174">
        <f t="shared" si="39"/>
        <v>279484.31</v>
      </c>
      <c r="AE18" s="208">
        <f>+AD18/AB18</f>
        <v>0.08755774122807017</v>
      </c>
      <c r="AF18" s="90">
        <v>4058438.37</v>
      </c>
      <c r="AG18" s="85">
        <f t="shared" si="40"/>
        <v>5163023.05</v>
      </c>
      <c r="AH18" s="120" t="s">
        <v>106</v>
      </c>
      <c r="AI18" s="81">
        <v>41162100.04</v>
      </c>
      <c r="AJ18" s="38">
        <f t="shared" si="41"/>
        <v>3536803</v>
      </c>
      <c r="AK18" s="85">
        <f t="shared" si="42"/>
        <v>8420341.74</v>
      </c>
      <c r="AL18" s="203">
        <f>+AK18/AI18</f>
        <v>0.2045654068139717</v>
      </c>
      <c r="AM18" s="172">
        <v>3192000</v>
      </c>
      <c r="AN18" s="173">
        <v>157945.44</v>
      </c>
      <c r="AO18" s="174">
        <f t="shared" si="43"/>
        <v>437429.75</v>
      </c>
      <c r="AP18" s="208">
        <f>+AO18/AM18</f>
        <v>0.13703939536340853</v>
      </c>
      <c r="AQ18" s="90">
        <f>3694748.44</f>
        <v>3694748.44</v>
      </c>
      <c r="AR18" s="85">
        <f t="shared" si="44"/>
        <v>8857771.49</v>
      </c>
      <c r="AS18" s="120" t="s">
        <v>106</v>
      </c>
      <c r="AT18" s="81">
        <v>41160000</v>
      </c>
      <c r="AU18" s="38">
        <f>+BB18-AY18</f>
        <v>3352701.5999999996</v>
      </c>
      <c r="AV18" s="85">
        <f t="shared" si="46"/>
        <v>11773043.34</v>
      </c>
      <c r="AW18" s="203">
        <f>+AV18/AT18</f>
        <v>0.28603117930029154</v>
      </c>
      <c r="AX18" s="172">
        <v>3192000</v>
      </c>
      <c r="AY18" s="173">
        <v>622125.22</v>
      </c>
      <c r="AZ18" s="174">
        <f t="shared" si="47"/>
        <v>1059554.97</v>
      </c>
      <c r="BA18" s="208">
        <f>+AZ18/AX18</f>
        <v>0.33194078007518796</v>
      </c>
      <c r="BB18" s="90">
        <v>3974826.82</v>
      </c>
      <c r="BC18" s="258">
        <f t="shared" si="51"/>
        <v>12832598.31</v>
      </c>
      <c r="BD18" s="120" t="s">
        <v>106</v>
      </c>
      <c r="BE18" s="81">
        <v>41160000</v>
      </c>
      <c r="BF18" s="38">
        <f>+BM18-BJ18</f>
        <v>1498180.44</v>
      </c>
      <c r="BG18" s="85">
        <f t="shared" si="54"/>
        <v>13271223.780000001</v>
      </c>
      <c r="BH18" s="203">
        <f>+BG18/BE18</f>
        <v>0.3224301209912537</v>
      </c>
      <c r="BI18" s="172">
        <v>3192000</v>
      </c>
      <c r="BJ18" s="173">
        <v>7074.78</v>
      </c>
      <c r="BK18" s="174">
        <f t="shared" si="48"/>
        <v>1066629.75</v>
      </c>
      <c r="BL18" s="208">
        <f>+BK18/BI18</f>
        <v>0.33415718984962406</v>
      </c>
      <c r="BM18" s="90">
        <v>1505255.22</v>
      </c>
      <c r="BN18" s="258">
        <f t="shared" si="7"/>
        <v>14337853.530000001</v>
      </c>
      <c r="BO18" s="120" t="s">
        <v>106</v>
      </c>
      <c r="BP18" s="81">
        <v>41160000</v>
      </c>
      <c r="BQ18" s="38">
        <f>+BX18-BU18</f>
        <v>8714821.12</v>
      </c>
      <c r="BR18" s="85">
        <f t="shared" si="9"/>
        <v>21986044.9</v>
      </c>
      <c r="BS18" s="203">
        <f>+BR18/BP18</f>
        <v>0.5341604689018464</v>
      </c>
      <c r="BT18" s="172">
        <v>3192000</v>
      </c>
      <c r="BU18" s="173">
        <v>0</v>
      </c>
      <c r="BV18" s="174">
        <f t="shared" si="49"/>
        <v>1066629.75</v>
      </c>
      <c r="BW18" s="208">
        <f>+BV18/BT18</f>
        <v>0.33415718984962406</v>
      </c>
      <c r="BX18" s="90">
        <v>8714821.12</v>
      </c>
      <c r="BY18" s="258">
        <f t="shared" si="11"/>
        <v>23052674.65</v>
      </c>
      <c r="BZ18" s="120" t="s">
        <v>106</v>
      </c>
      <c r="CA18" s="81">
        <v>41160000</v>
      </c>
      <c r="CB18" s="38">
        <f>+CI18-CF18</f>
        <v>2601734.12</v>
      </c>
      <c r="CC18" s="85">
        <f t="shared" si="13"/>
        <v>24587779.02</v>
      </c>
      <c r="CD18" s="203">
        <f>+CC18/CA18</f>
        <v>0.5973707244897959</v>
      </c>
      <c r="CE18" s="172">
        <v>3192000</v>
      </c>
      <c r="CF18" s="173">
        <v>55743.5</v>
      </c>
      <c r="CG18" s="174">
        <f t="shared" si="15"/>
        <v>1122373.25</v>
      </c>
      <c r="CH18" s="208">
        <f>+CG18/CE18</f>
        <v>0.3516206923558897</v>
      </c>
      <c r="CI18" s="90">
        <v>2657477.62</v>
      </c>
      <c r="CJ18" s="258">
        <f t="shared" si="16"/>
        <v>25710152.27</v>
      </c>
      <c r="CK18" s="120" t="s">
        <v>106</v>
      </c>
      <c r="CL18" s="81">
        <v>41160000</v>
      </c>
      <c r="CM18" s="38">
        <f t="shared" si="55"/>
        <v>2782047.08</v>
      </c>
      <c r="CN18" s="85">
        <f t="shared" si="18"/>
        <v>27369826.1</v>
      </c>
      <c r="CO18" s="203">
        <f>+CN18/CL18</f>
        <v>0.6649617614188533</v>
      </c>
      <c r="CP18" s="172">
        <v>3192000</v>
      </c>
      <c r="CQ18" s="173">
        <v>367592</v>
      </c>
      <c r="CR18" s="174">
        <f t="shared" si="20"/>
        <v>1489965.25</v>
      </c>
      <c r="CS18" s="208">
        <f>+CR18/CP18</f>
        <v>0.466781093358396</v>
      </c>
      <c r="CT18" s="90">
        <f>3085687.12+63951.96</f>
        <v>3149639.08</v>
      </c>
      <c r="CU18" s="258">
        <f t="shared" si="21"/>
        <v>28859791.35</v>
      </c>
      <c r="CV18" s="120" t="s">
        <v>106</v>
      </c>
      <c r="CW18" s="81">
        <v>41160000</v>
      </c>
      <c r="CX18" s="38">
        <f t="shared" si="22"/>
        <v>4681354.86</v>
      </c>
      <c r="CY18" s="85">
        <f t="shared" si="23"/>
        <v>32051180.96</v>
      </c>
      <c r="CZ18" s="203">
        <f>+CY18/CW18</f>
        <v>0.7786973022351799</v>
      </c>
      <c r="DA18" s="172">
        <v>3192000</v>
      </c>
      <c r="DB18" s="173">
        <v>319210.5</v>
      </c>
      <c r="DC18" s="174">
        <f t="shared" si="25"/>
        <v>1809175.75</v>
      </c>
      <c r="DD18" s="208">
        <f>+DC18/DA18</f>
        <v>0.5667843828320802</v>
      </c>
      <c r="DE18" s="90">
        <f>4989450.36+11115</f>
        <v>5000565.36</v>
      </c>
      <c r="DF18" s="258">
        <f t="shared" si="26"/>
        <v>33860356.71</v>
      </c>
      <c r="DG18" s="120" t="s">
        <v>106</v>
      </c>
      <c r="DH18" s="81">
        <v>41160000</v>
      </c>
      <c r="DI18" s="283">
        <v>9638159.68</v>
      </c>
      <c r="DJ18" s="85">
        <f>+DQ18-DN18</f>
        <v>41689340.64</v>
      </c>
      <c r="DK18" s="203">
        <f>+DJ18/DH18</f>
        <v>1.012860559766764</v>
      </c>
      <c r="DL18" s="172">
        <v>3192000</v>
      </c>
      <c r="DM18" s="283">
        <v>338340.5</v>
      </c>
      <c r="DN18" s="174">
        <f t="shared" si="28"/>
        <v>2147516.25</v>
      </c>
      <c r="DO18" s="208">
        <f>+DN18/DL18</f>
        <v>0.6727807800751879</v>
      </c>
      <c r="DP18" s="90">
        <f>DI18+DM18</f>
        <v>9976500.18</v>
      </c>
      <c r="DQ18" s="258">
        <f>+DP18+DF18</f>
        <v>43836856.89</v>
      </c>
    </row>
    <row r="19" spans="1:121" ht="21">
      <c r="A19" s="120" t="s">
        <v>27</v>
      </c>
      <c r="B19" s="81">
        <v>66512220.26</v>
      </c>
      <c r="C19" s="38">
        <f t="shared" si="29"/>
        <v>3733637.3600000003</v>
      </c>
      <c r="D19" s="85">
        <f t="shared" si="30"/>
        <v>3733637.3600000003</v>
      </c>
      <c r="E19" s="203">
        <f>+D19/B19</f>
        <v>0.05613460722563467</v>
      </c>
      <c r="F19" s="172">
        <v>4220000</v>
      </c>
      <c r="G19" s="173">
        <v>121940.76</v>
      </c>
      <c r="H19" s="174">
        <f t="shared" si="31"/>
        <v>121940.76</v>
      </c>
      <c r="I19" s="208">
        <f>+H19/F19</f>
        <v>0.028895914691943126</v>
      </c>
      <c r="J19" s="90">
        <v>3855578.12</v>
      </c>
      <c r="K19" s="85">
        <f t="shared" si="32"/>
        <v>3855578.12</v>
      </c>
      <c r="L19" s="120" t="s">
        <v>27</v>
      </c>
      <c r="M19" s="81">
        <v>66512220.26</v>
      </c>
      <c r="N19" s="38">
        <f t="shared" si="33"/>
        <v>5820877.48</v>
      </c>
      <c r="O19" s="85">
        <f t="shared" si="34"/>
        <v>9554514.840000002</v>
      </c>
      <c r="P19" s="203">
        <f>+O19/M19</f>
        <v>0.14365051719294392</v>
      </c>
      <c r="Q19" s="172">
        <v>4220000</v>
      </c>
      <c r="R19" s="173">
        <v>4924</v>
      </c>
      <c r="S19" s="174">
        <f t="shared" si="35"/>
        <v>126864.76</v>
      </c>
      <c r="T19" s="208">
        <f>+S19/Q19</f>
        <v>0.03006273933649289</v>
      </c>
      <c r="U19" s="90">
        <f>5826846.48-U39</f>
        <v>5825801.48</v>
      </c>
      <c r="V19" s="85">
        <f t="shared" si="36"/>
        <v>9681379.600000001</v>
      </c>
      <c r="W19" s="120" t="s">
        <v>27</v>
      </c>
      <c r="X19" s="81">
        <v>66512220.26</v>
      </c>
      <c r="Y19" s="38">
        <f t="shared" si="37"/>
        <v>2962773.8000000003</v>
      </c>
      <c r="Z19" s="85">
        <f t="shared" si="38"/>
        <v>12517288.64</v>
      </c>
      <c r="AA19" s="203">
        <f>+Z19/X19</f>
        <v>0.18819532096612046</v>
      </c>
      <c r="AB19" s="172">
        <v>4220000</v>
      </c>
      <c r="AC19" s="173">
        <v>30956.4</v>
      </c>
      <c r="AD19" s="174">
        <f t="shared" si="39"/>
        <v>157821.16</v>
      </c>
      <c r="AE19" s="208">
        <f>+AD19/AB19</f>
        <v>0.03739837914691943</v>
      </c>
      <c r="AF19" s="90">
        <v>2993730.2</v>
      </c>
      <c r="AG19" s="85">
        <f t="shared" si="40"/>
        <v>12675109.8</v>
      </c>
      <c r="AH19" s="120" t="s">
        <v>27</v>
      </c>
      <c r="AI19" s="81">
        <v>66512220.26</v>
      </c>
      <c r="AJ19" s="38">
        <f t="shared" si="41"/>
        <v>3849524.93</v>
      </c>
      <c r="AK19" s="85">
        <f t="shared" si="42"/>
        <v>16366813.57</v>
      </c>
      <c r="AL19" s="203">
        <f>+AK19/AI19</f>
        <v>0.2460722782373105</v>
      </c>
      <c r="AM19" s="172">
        <v>4220000</v>
      </c>
      <c r="AN19" s="173">
        <v>39978.3</v>
      </c>
      <c r="AO19" s="174">
        <f t="shared" si="43"/>
        <v>197799.46000000002</v>
      </c>
      <c r="AP19" s="208">
        <f>+AO19/AM19</f>
        <v>0.04687190995260664</v>
      </c>
      <c r="AQ19" s="90">
        <f>4545390.75-781334.55+125447.03</f>
        <v>3889503.23</v>
      </c>
      <c r="AR19" s="85">
        <f t="shared" si="44"/>
        <v>16564613.030000001</v>
      </c>
      <c r="AS19" s="120" t="s">
        <v>27</v>
      </c>
      <c r="AT19" s="81">
        <v>66500000</v>
      </c>
      <c r="AU19" s="38">
        <f t="shared" si="45"/>
        <v>3573185.11</v>
      </c>
      <c r="AV19" s="85">
        <f t="shared" si="46"/>
        <v>19939998.680000003</v>
      </c>
      <c r="AW19" s="203">
        <f>+AV19/AT19</f>
        <v>0.29984960421052637</v>
      </c>
      <c r="AX19" s="172">
        <v>4220000</v>
      </c>
      <c r="AY19" s="173">
        <v>10870.6</v>
      </c>
      <c r="AZ19" s="174">
        <f t="shared" si="47"/>
        <v>208670.06000000003</v>
      </c>
      <c r="BA19" s="208">
        <f>+AZ19/AX19</f>
        <v>0.04944788151658768</v>
      </c>
      <c r="BB19" s="90">
        <v>3584055.71</v>
      </c>
      <c r="BC19" s="258">
        <f>+BB19+AR19</f>
        <v>20148668.740000002</v>
      </c>
      <c r="BD19" s="120" t="s">
        <v>27</v>
      </c>
      <c r="BE19" s="81">
        <v>66500000</v>
      </c>
      <c r="BF19" s="38">
        <f aca="true" t="shared" si="56" ref="BF19:BF46">+BM19-BJ19</f>
        <v>20483.56</v>
      </c>
      <c r="BG19" s="85">
        <f t="shared" si="54"/>
        <v>19960482.240000002</v>
      </c>
      <c r="BH19" s="203">
        <f>+BG19/BE19</f>
        <v>0.300157627669173</v>
      </c>
      <c r="BI19" s="172">
        <v>4220000</v>
      </c>
      <c r="BJ19" s="173">
        <v>0</v>
      </c>
      <c r="BK19" s="174">
        <f t="shared" si="48"/>
        <v>208670.06000000003</v>
      </c>
      <c r="BL19" s="208">
        <f>+BK19/BI19</f>
        <v>0.04944788151658768</v>
      </c>
      <c r="BM19" s="90">
        <v>20483.56</v>
      </c>
      <c r="BN19" s="258">
        <f t="shared" si="7"/>
        <v>20169152.3</v>
      </c>
      <c r="BO19" s="120" t="s">
        <v>27</v>
      </c>
      <c r="BP19" s="81">
        <v>66500000</v>
      </c>
      <c r="BQ19" s="38">
        <f aca="true" t="shared" si="57" ref="BQ19:BQ48">+BX19-BU19</f>
        <v>11283294.33</v>
      </c>
      <c r="BR19" s="85">
        <f t="shared" si="9"/>
        <v>31243776.570000004</v>
      </c>
      <c r="BS19" s="203">
        <f>+BR19/BP19</f>
        <v>0.4698312266165414</v>
      </c>
      <c r="BT19" s="172">
        <v>4220000</v>
      </c>
      <c r="BU19" s="173">
        <v>924375</v>
      </c>
      <c r="BV19" s="174">
        <f>+BU19+BK19</f>
        <v>1133045.06</v>
      </c>
      <c r="BW19" s="208">
        <f>+BV19/BT19</f>
        <v>0.2684940900473934</v>
      </c>
      <c r="BX19" s="90">
        <v>12207669.33</v>
      </c>
      <c r="BY19" s="258">
        <f>+BX19+BN19</f>
        <v>32376821.630000003</v>
      </c>
      <c r="BZ19" s="120" t="s">
        <v>27</v>
      </c>
      <c r="CA19" s="81">
        <v>66500000</v>
      </c>
      <c r="CB19" s="38">
        <f aca="true" t="shared" si="58" ref="CB19:CB48">+CI19-CF19</f>
        <v>4109110.41</v>
      </c>
      <c r="CC19" s="85">
        <f t="shared" si="13"/>
        <v>35352886.980000004</v>
      </c>
      <c r="CD19" s="203">
        <f>+CC19/CA19</f>
        <v>0.5316223606015038</v>
      </c>
      <c r="CE19" s="172">
        <v>4220000</v>
      </c>
      <c r="CF19" s="173">
        <v>0</v>
      </c>
      <c r="CG19" s="174">
        <f t="shared" si="15"/>
        <v>1133045.06</v>
      </c>
      <c r="CH19" s="208">
        <f>+CG19/CE19</f>
        <v>0.2684940900473934</v>
      </c>
      <c r="CI19" s="90">
        <v>4109110.41</v>
      </c>
      <c r="CJ19" s="258">
        <f t="shared" si="16"/>
        <v>36485932.04000001</v>
      </c>
      <c r="CK19" s="120" t="s">
        <v>27</v>
      </c>
      <c r="CL19" s="81">
        <v>66500000</v>
      </c>
      <c r="CM19" s="38">
        <f t="shared" si="55"/>
        <v>3158339.54</v>
      </c>
      <c r="CN19" s="85">
        <f t="shared" si="18"/>
        <v>38511226.52</v>
      </c>
      <c r="CO19" s="203">
        <f>+CN19/CL19</f>
        <v>0.5791161882706768</v>
      </c>
      <c r="CP19" s="172">
        <v>4220000</v>
      </c>
      <c r="CQ19" s="173">
        <v>0</v>
      </c>
      <c r="CR19" s="174">
        <f t="shared" si="20"/>
        <v>1133045.06</v>
      </c>
      <c r="CS19" s="208">
        <f>+CR19/CP19</f>
        <v>0.2684940900473934</v>
      </c>
      <c r="CT19" s="90">
        <f>3843732.07+132978.02-818370.55</f>
        <v>3158339.54</v>
      </c>
      <c r="CU19" s="258">
        <f t="shared" si="21"/>
        <v>39644271.580000006</v>
      </c>
      <c r="CV19" s="120" t="s">
        <v>27</v>
      </c>
      <c r="CW19" s="81">
        <v>66500000</v>
      </c>
      <c r="CX19" s="38">
        <f t="shared" si="22"/>
        <v>8677791.08</v>
      </c>
      <c r="CY19" s="85">
        <f t="shared" si="23"/>
        <v>47189017.6</v>
      </c>
      <c r="CZ19" s="203">
        <f>+CY19/CW19</f>
        <v>0.7096092872180452</v>
      </c>
      <c r="DA19" s="172">
        <v>4220000</v>
      </c>
      <c r="DB19" s="173">
        <v>13200</v>
      </c>
      <c r="DC19" s="174">
        <f t="shared" si="25"/>
        <v>1146245.06</v>
      </c>
      <c r="DD19" s="208">
        <f>+DC19/DA19</f>
        <v>0.2716220521327014</v>
      </c>
      <c r="DE19" s="90">
        <v>8690991.08</v>
      </c>
      <c r="DF19" s="258">
        <f t="shared" si="26"/>
        <v>48335262.660000004</v>
      </c>
      <c r="DG19" s="120" t="s">
        <v>27</v>
      </c>
      <c r="DH19" s="81">
        <v>66500000</v>
      </c>
      <c r="DI19" s="283">
        <v>2846564.73</v>
      </c>
      <c r="DJ19" s="85">
        <f>+DQ19-DN19</f>
        <v>50035582.33</v>
      </c>
      <c r="DK19" s="203">
        <f>+DJ19/DH19</f>
        <v>0.7524147718796992</v>
      </c>
      <c r="DL19" s="172">
        <v>4220000</v>
      </c>
      <c r="DM19" s="173">
        <v>0</v>
      </c>
      <c r="DN19" s="174">
        <f>+DM19+DC19</f>
        <v>1146245.06</v>
      </c>
      <c r="DO19" s="208">
        <f>+DN19/DL19</f>
        <v>0.2716220521327014</v>
      </c>
      <c r="DP19" s="90">
        <f>DI19</f>
        <v>2846564.73</v>
      </c>
      <c r="DQ19" s="258">
        <f t="shared" si="50"/>
        <v>51181827.39</v>
      </c>
    </row>
    <row r="20" spans="1:121" ht="21">
      <c r="A20" s="120" t="s">
        <v>28</v>
      </c>
      <c r="B20" s="81">
        <v>4321410.61</v>
      </c>
      <c r="C20" s="38">
        <f t="shared" si="29"/>
        <v>294740.02</v>
      </c>
      <c r="D20" s="85">
        <f t="shared" si="30"/>
        <v>294740.02</v>
      </c>
      <c r="E20" s="203">
        <f>+D20/B20</f>
        <v>0.06820458563181989</v>
      </c>
      <c r="F20" s="172">
        <v>0</v>
      </c>
      <c r="G20" s="173">
        <v>0</v>
      </c>
      <c r="H20" s="174">
        <f t="shared" si="31"/>
        <v>0</v>
      </c>
      <c r="I20" s="208">
        <f>+H20/H51</f>
        <v>0</v>
      </c>
      <c r="J20" s="90">
        <v>294740.02</v>
      </c>
      <c r="K20" s="85">
        <f t="shared" si="32"/>
        <v>294740.02</v>
      </c>
      <c r="L20" s="120" t="s">
        <v>28</v>
      </c>
      <c r="M20" s="81">
        <v>4321410.61</v>
      </c>
      <c r="N20" s="38">
        <f t="shared" si="33"/>
        <v>676555.08</v>
      </c>
      <c r="O20" s="85">
        <f t="shared" si="34"/>
        <v>971295.1</v>
      </c>
      <c r="P20" s="203">
        <f>+O20/M20</f>
        <v>0.22476343667791382</v>
      </c>
      <c r="Q20" s="172">
        <v>0</v>
      </c>
      <c r="R20" s="173">
        <v>442.3</v>
      </c>
      <c r="S20" s="174">
        <f t="shared" si="35"/>
        <v>442.3</v>
      </c>
      <c r="T20" s="208">
        <f>+S20/S51</f>
        <v>0.002550971855103876</v>
      </c>
      <c r="U20" s="90">
        <v>676997.38</v>
      </c>
      <c r="V20" s="85">
        <f t="shared" si="36"/>
        <v>971737.4</v>
      </c>
      <c r="W20" s="120" t="s">
        <v>28</v>
      </c>
      <c r="X20" s="81">
        <v>4321410.61</v>
      </c>
      <c r="Y20" s="38">
        <f t="shared" si="37"/>
        <v>207293.5</v>
      </c>
      <c r="Z20" s="85">
        <f t="shared" si="38"/>
        <v>1178588.5999999999</v>
      </c>
      <c r="AA20" s="203">
        <f>+Z20/X20</f>
        <v>0.2727323798559378</v>
      </c>
      <c r="AB20" s="172">
        <v>0</v>
      </c>
      <c r="AC20" s="173">
        <v>0</v>
      </c>
      <c r="AD20" s="174">
        <f t="shared" si="39"/>
        <v>442.3</v>
      </c>
      <c r="AE20" s="208">
        <f>+AD20/AD51</f>
        <v>0.0009163387297597753</v>
      </c>
      <c r="AF20" s="90">
        <v>207293.5</v>
      </c>
      <c r="AG20" s="85">
        <f t="shared" si="40"/>
        <v>1179030.9</v>
      </c>
      <c r="AH20" s="120" t="s">
        <v>28</v>
      </c>
      <c r="AI20" s="81">
        <v>4321410.61</v>
      </c>
      <c r="AJ20" s="38">
        <f t="shared" si="41"/>
        <v>119792.91</v>
      </c>
      <c r="AK20" s="85">
        <f t="shared" si="42"/>
        <v>1298381.5099999998</v>
      </c>
      <c r="AL20" s="203">
        <f>+AK20/AI20</f>
        <v>0.30045316846204523</v>
      </c>
      <c r="AM20" s="172">
        <v>0</v>
      </c>
      <c r="AN20" s="173">
        <v>0</v>
      </c>
      <c r="AO20" s="174">
        <f t="shared" si="43"/>
        <v>442.3</v>
      </c>
      <c r="AP20" s="208">
        <f>+AO20/AO51</f>
        <v>0.0006498625025824431</v>
      </c>
      <c r="AQ20" s="90">
        <v>119792.91</v>
      </c>
      <c r="AR20" s="85">
        <f t="shared" si="44"/>
        <v>1298823.8099999998</v>
      </c>
      <c r="AS20" s="120" t="s">
        <v>28</v>
      </c>
      <c r="AT20" s="81">
        <v>4320000</v>
      </c>
      <c r="AU20" s="38">
        <f t="shared" si="45"/>
        <v>642513.61</v>
      </c>
      <c r="AV20" s="85">
        <f t="shared" si="46"/>
        <v>1940895.1199999999</v>
      </c>
      <c r="AW20" s="203">
        <f>+AV20/AT20</f>
        <v>0.44928127777777777</v>
      </c>
      <c r="AX20" s="172">
        <v>0</v>
      </c>
      <c r="AY20" s="173">
        <v>275</v>
      </c>
      <c r="AZ20" s="174">
        <f t="shared" si="47"/>
        <v>717.3</v>
      </c>
      <c r="BA20" s="208">
        <f>+AZ20/AZ51</f>
        <v>0.0005459417934715362</v>
      </c>
      <c r="BB20" s="90">
        <v>642788.61</v>
      </c>
      <c r="BC20" s="258">
        <f t="shared" si="51"/>
        <v>1941612.42</v>
      </c>
      <c r="BD20" s="120" t="s">
        <v>28</v>
      </c>
      <c r="BE20" s="81">
        <v>4320000</v>
      </c>
      <c r="BF20" s="38">
        <f t="shared" si="56"/>
        <v>148972.03</v>
      </c>
      <c r="BG20" s="85">
        <f t="shared" si="54"/>
        <v>2089867.15</v>
      </c>
      <c r="BH20" s="203">
        <f>+BG20/BE20</f>
        <v>0.48376554398148147</v>
      </c>
      <c r="BI20" s="172">
        <v>0</v>
      </c>
      <c r="BJ20" s="173">
        <v>0</v>
      </c>
      <c r="BK20" s="174">
        <f t="shared" si="48"/>
        <v>717.3</v>
      </c>
      <c r="BL20" s="208">
        <f>+BK20/BK51</f>
        <v>0.0005430178259966033</v>
      </c>
      <c r="BM20" s="90">
        <v>148972.03</v>
      </c>
      <c r="BN20" s="258">
        <f t="shared" si="7"/>
        <v>2090584.45</v>
      </c>
      <c r="BO20" s="120" t="s">
        <v>28</v>
      </c>
      <c r="BP20" s="81">
        <v>4320000</v>
      </c>
      <c r="BQ20" s="38">
        <f t="shared" si="57"/>
        <v>67154.1</v>
      </c>
      <c r="BR20" s="85">
        <f t="shared" si="9"/>
        <v>2157021.25</v>
      </c>
      <c r="BS20" s="203">
        <f>+BR20/BP20</f>
        <v>0.49931047453703703</v>
      </c>
      <c r="BT20" s="172">
        <v>0</v>
      </c>
      <c r="BU20" s="173">
        <v>0</v>
      </c>
      <c r="BV20" s="174">
        <f t="shared" si="49"/>
        <v>717.3</v>
      </c>
      <c r="BW20" s="208">
        <f>+BV20/BV51</f>
        <v>0.0003194636168017482</v>
      </c>
      <c r="BX20" s="90">
        <v>67154.1</v>
      </c>
      <c r="BY20" s="258">
        <f t="shared" si="11"/>
        <v>2157738.55</v>
      </c>
      <c r="BZ20" s="120" t="s">
        <v>28</v>
      </c>
      <c r="CA20" s="81">
        <v>4320000</v>
      </c>
      <c r="CB20" s="38">
        <f t="shared" si="58"/>
        <v>92370.73</v>
      </c>
      <c r="CC20" s="85">
        <f t="shared" si="13"/>
        <v>2249391.98</v>
      </c>
      <c r="CD20" s="203">
        <f>+CC20/CA20</f>
        <v>0.5206925879629629</v>
      </c>
      <c r="CE20" s="172">
        <v>0</v>
      </c>
      <c r="CF20" s="173">
        <v>0</v>
      </c>
      <c r="CG20" s="174">
        <f aca="true" t="shared" si="59" ref="CG20:CG50">+CF20+BV20</f>
        <v>717.3</v>
      </c>
      <c r="CH20" s="208">
        <f>+CG20/CG51</f>
        <v>0.00031172459837058126</v>
      </c>
      <c r="CI20" s="90">
        <v>92370.73</v>
      </c>
      <c r="CJ20" s="258">
        <f aca="true" t="shared" si="60" ref="CJ20:CJ50">+CI20+BY20</f>
        <v>2250109.28</v>
      </c>
      <c r="CK20" s="120" t="s">
        <v>28</v>
      </c>
      <c r="CL20" s="81">
        <v>4320000</v>
      </c>
      <c r="CM20" s="38">
        <f t="shared" si="55"/>
        <v>341472.31</v>
      </c>
      <c r="CN20" s="85">
        <f t="shared" si="18"/>
        <v>2590864.29</v>
      </c>
      <c r="CO20" s="203">
        <f>+CN20/CL20</f>
        <v>0.5997371041666667</v>
      </c>
      <c r="CP20" s="172">
        <v>0</v>
      </c>
      <c r="CQ20" s="173">
        <v>0</v>
      </c>
      <c r="CR20" s="174">
        <f t="shared" si="20"/>
        <v>717.3</v>
      </c>
      <c r="CS20" s="208">
        <f>+CR20/CR51</f>
        <v>0.0002687864198713452</v>
      </c>
      <c r="CT20" s="90">
        <v>341472.31</v>
      </c>
      <c r="CU20" s="258">
        <f t="shared" si="21"/>
        <v>2591581.59</v>
      </c>
      <c r="CV20" s="120" t="s">
        <v>28</v>
      </c>
      <c r="CW20" s="81">
        <v>4320000</v>
      </c>
      <c r="CX20" s="38">
        <f t="shared" si="22"/>
        <v>660247.23</v>
      </c>
      <c r="CY20" s="85">
        <f t="shared" si="23"/>
        <v>3251111.52</v>
      </c>
      <c r="CZ20" s="203">
        <f>+CY20/CW20</f>
        <v>0.7525721111111111</v>
      </c>
      <c r="DA20" s="172">
        <v>0</v>
      </c>
      <c r="DB20" s="173">
        <v>0</v>
      </c>
      <c r="DC20" s="174">
        <f t="shared" si="25"/>
        <v>717.3</v>
      </c>
      <c r="DD20" s="208">
        <f>+DC20/DC51</f>
        <v>0.00023901458335834523</v>
      </c>
      <c r="DE20" s="90">
        <v>660247.23</v>
      </c>
      <c r="DF20" s="258">
        <f t="shared" si="26"/>
        <v>3251828.82</v>
      </c>
      <c r="DG20" s="120" t="s">
        <v>28</v>
      </c>
      <c r="DH20" s="81">
        <v>4320000</v>
      </c>
      <c r="DI20" s="283">
        <v>28522.59</v>
      </c>
      <c r="DJ20" s="85">
        <f t="shared" si="53"/>
        <v>3279634.11</v>
      </c>
      <c r="DK20" s="203">
        <f>+DJ20/DH20</f>
        <v>0.7591745624999999</v>
      </c>
      <c r="DL20" s="172">
        <v>0</v>
      </c>
      <c r="DM20" s="173">
        <v>0</v>
      </c>
      <c r="DN20" s="174">
        <f t="shared" si="28"/>
        <v>717.3</v>
      </c>
      <c r="DO20" s="208">
        <f>+DN20/DN51</f>
        <v>0.00021479825459484026</v>
      </c>
      <c r="DP20" s="90">
        <f>DI20</f>
        <v>28522.59</v>
      </c>
      <c r="DQ20" s="258">
        <f t="shared" si="50"/>
        <v>3280351.4099999997</v>
      </c>
    </row>
    <row r="21" spans="1:121" ht="21">
      <c r="A21" s="120" t="s">
        <v>46</v>
      </c>
      <c r="B21" s="81">
        <v>0</v>
      </c>
      <c r="C21" s="38">
        <f t="shared" si="29"/>
        <v>57627.84</v>
      </c>
      <c r="D21" s="85">
        <f t="shared" si="30"/>
        <v>57627.84</v>
      </c>
      <c r="E21" s="203">
        <f>+D21/B18</f>
        <v>0.0014000218634131671</v>
      </c>
      <c r="F21" s="172">
        <v>0</v>
      </c>
      <c r="G21" s="173">
        <v>0</v>
      </c>
      <c r="H21" s="174">
        <f t="shared" si="31"/>
        <v>0</v>
      </c>
      <c r="I21" s="208">
        <f>+H21/H51</f>
        <v>0</v>
      </c>
      <c r="J21" s="90">
        <v>57627.84</v>
      </c>
      <c r="K21" s="85">
        <f t="shared" si="32"/>
        <v>57627.84</v>
      </c>
      <c r="L21" s="120" t="s">
        <v>46</v>
      </c>
      <c r="M21" s="81">
        <v>0</v>
      </c>
      <c r="N21" s="38">
        <f t="shared" si="33"/>
        <v>0</v>
      </c>
      <c r="O21" s="85">
        <f t="shared" si="34"/>
        <v>57627.84</v>
      </c>
      <c r="P21" s="203">
        <f>+O21/M18</f>
        <v>0.0014000218634131671</v>
      </c>
      <c r="Q21" s="172">
        <v>0</v>
      </c>
      <c r="R21" s="173">
        <v>0</v>
      </c>
      <c r="S21" s="174">
        <f t="shared" si="35"/>
        <v>0</v>
      </c>
      <c r="T21" s="208">
        <f>+S21/S51</f>
        <v>0</v>
      </c>
      <c r="U21" s="90">
        <v>0</v>
      </c>
      <c r="V21" s="85">
        <f t="shared" si="36"/>
        <v>57627.84</v>
      </c>
      <c r="W21" s="120" t="s">
        <v>46</v>
      </c>
      <c r="X21" s="81">
        <v>0</v>
      </c>
      <c r="Y21" s="38">
        <f t="shared" si="37"/>
        <v>0</v>
      </c>
      <c r="Z21" s="85">
        <f t="shared" si="38"/>
        <v>57627.84</v>
      </c>
      <c r="AA21" s="203">
        <f>+Z21/X18</f>
        <v>0.0014000218634131671</v>
      </c>
      <c r="AB21" s="172">
        <v>0</v>
      </c>
      <c r="AC21" s="173">
        <v>0</v>
      </c>
      <c r="AD21" s="174">
        <f t="shared" si="39"/>
        <v>0</v>
      </c>
      <c r="AE21" s="208">
        <f>+AD21/AD51</f>
        <v>0</v>
      </c>
      <c r="AF21" s="90">
        <v>0</v>
      </c>
      <c r="AG21" s="85">
        <f t="shared" si="40"/>
        <v>57627.84</v>
      </c>
      <c r="AH21" s="120" t="s">
        <v>46</v>
      </c>
      <c r="AI21" s="81">
        <v>0</v>
      </c>
      <c r="AJ21" s="38">
        <f t="shared" si="41"/>
        <v>57893.23</v>
      </c>
      <c r="AK21" s="85">
        <f t="shared" si="42"/>
        <v>115521.07</v>
      </c>
      <c r="AL21" s="203">
        <f>+AK21/AI18</f>
        <v>0.0028064911626894734</v>
      </c>
      <c r="AM21" s="172">
        <v>0</v>
      </c>
      <c r="AN21" s="173">
        <v>0</v>
      </c>
      <c r="AO21" s="174">
        <f t="shared" si="43"/>
        <v>0</v>
      </c>
      <c r="AP21" s="208">
        <f>+AO21/AO51</f>
        <v>0</v>
      </c>
      <c r="AQ21" s="90">
        <v>57893.23</v>
      </c>
      <c r="AR21" s="85">
        <f t="shared" si="44"/>
        <v>115521.07</v>
      </c>
      <c r="AS21" s="120" t="s">
        <v>46</v>
      </c>
      <c r="AT21" s="81">
        <v>0</v>
      </c>
      <c r="AU21" s="38">
        <f t="shared" si="45"/>
        <v>0</v>
      </c>
      <c r="AV21" s="85">
        <f t="shared" si="46"/>
        <v>115521.07</v>
      </c>
      <c r="AW21" s="203">
        <f>+AV21/AT18</f>
        <v>0.0028066343537414967</v>
      </c>
      <c r="AX21" s="172">
        <v>0</v>
      </c>
      <c r="AY21" s="173">
        <v>0</v>
      </c>
      <c r="AZ21" s="174">
        <f t="shared" si="47"/>
        <v>0</v>
      </c>
      <c r="BA21" s="208">
        <f>+AZ21/AZ51</f>
        <v>0</v>
      </c>
      <c r="BB21" s="90">
        <v>0</v>
      </c>
      <c r="BC21" s="258">
        <f t="shared" si="51"/>
        <v>115521.07</v>
      </c>
      <c r="BD21" s="120" t="s">
        <v>46</v>
      </c>
      <c r="BE21" s="81">
        <v>0</v>
      </c>
      <c r="BF21" s="38">
        <f t="shared" si="56"/>
        <v>25550</v>
      </c>
      <c r="BG21" s="85">
        <f t="shared" si="54"/>
        <v>141071.07</v>
      </c>
      <c r="BH21" s="203">
        <f>+BG21/BE18</f>
        <v>0.0034273826530612245</v>
      </c>
      <c r="BI21" s="172">
        <v>0</v>
      </c>
      <c r="BJ21" s="173">
        <v>0</v>
      </c>
      <c r="BK21" s="174">
        <f t="shared" si="48"/>
        <v>0</v>
      </c>
      <c r="BL21" s="208">
        <f>+BK21/BK51</f>
        <v>0</v>
      </c>
      <c r="BM21" s="90">
        <v>25550</v>
      </c>
      <c r="BN21" s="258">
        <f t="shared" si="7"/>
        <v>141071.07</v>
      </c>
      <c r="BO21" s="120" t="s">
        <v>46</v>
      </c>
      <c r="BP21" s="81">
        <v>0</v>
      </c>
      <c r="BQ21" s="38">
        <f t="shared" si="57"/>
        <v>0</v>
      </c>
      <c r="BR21" s="85">
        <f t="shared" si="9"/>
        <v>141071.07</v>
      </c>
      <c r="BS21" s="203">
        <f>+BR21/BP18</f>
        <v>0.0034273826530612245</v>
      </c>
      <c r="BT21" s="172">
        <v>0</v>
      </c>
      <c r="BU21" s="173">
        <v>0</v>
      </c>
      <c r="BV21" s="174">
        <f t="shared" si="49"/>
        <v>0</v>
      </c>
      <c r="BW21" s="208">
        <f>+BV21/BV51</f>
        <v>0</v>
      </c>
      <c r="BX21" s="90">
        <v>0</v>
      </c>
      <c r="BY21" s="258">
        <f t="shared" si="11"/>
        <v>141071.07</v>
      </c>
      <c r="BZ21" s="120" t="s">
        <v>46</v>
      </c>
      <c r="CA21" s="81">
        <v>0</v>
      </c>
      <c r="CB21" s="38">
        <f t="shared" si="58"/>
        <v>22670</v>
      </c>
      <c r="CC21" s="85">
        <f t="shared" si="13"/>
        <v>163741.07</v>
      </c>
      <c r="CD21" s="203">
        <f>+CC21/CA18</f>
        <v>0.003978160106899903</v>
      </c>
      <c r="CE21" s="172">
        <v>0</v>
      </c>
      <c r="CF21" s="173">
        <v>0</v>
      </c>
      <c r="CG21" s="174">
        <f t="shared" si="59"/>
        <v>0</v>
      </c>
      <c r="CH21" s="208">
        <f>+CG21/CG51</f>
        <v>0</v>
      </c>
      <c r="CI21" s="90">
        <v>22670</v>
      </c>
      <c r="CJ21" s="258">
        <f t="shared" si="60"/>
        <v>163741.07</v>
      </c>
      <c r="CK21" s="120" t="s">
        <v>46</v>
      </c>
      <c r="CL21" s="81">
        <v>0</v>
      </c>
      <c r="CM21" s="38">
        <f t="shared" si="55"/>
        <v>36002</v>
      </c>
      <c r="CN21" s="85">
        <f t="shared" si="18"/>
        <v>199743.07</v>
      </c>
      <c r="CO21" s="203">
        <f>+CN21/CL18</f>
        <v>0.00485284426627794</v>
      </c>
      <c r="CP21" s="172">
        <v>0</v>
      </c>
      <c r="CQ21" s="173">
        <v>0</v>
      </c>
      <c r="CR21" s="174">
        <f t="shared" si="20"/>
        <v>0</v>
      </c>
      <c r="CS21" s="208">
        <f>+CR21/CR51</f>
        <v>0</v>
      </c>
      <c r="CT21" s="90">
        <v>36002</v>
      </c>
      <c r="CU21" s="258">
        <f t="shared" si="21"/>
        <v>199743.07</v>
      </c>
      <c r="CV21" s="120" t="s">
        <v>46</v>
      </c>
      <c r="CW21" s="81">
        <v>0</v>
      </c>
      <c r="CX21" s="38">
        <f t="shared" si="22"/>
        <v>0</v>
      </c>
      <c r="CY21" s="85">
        <f t="shared" si="23"/>
        <v>199743.07</v>
      </c>
      <c r="CZ21" s="203">
        <f>+CY21/CW18</f>
        <v>0.00485284426627794</v>
      </c>
      <c r="DA21" s="172">
        <v>0</v>
      </c>
      <c r="DB21" s="173">
        <v>0</v>
      </c>
      <c r="DC21" s="174">
        <f t="shared" si="25"/>
        <v>0</v>
      </c>
      <c r="DD21" s="208">
        <f>+DC21/DC51</f>
        <v>0</v>
      </c>
      <c r="DE21" s="90">
        <v>0</v>
      </c>
      <c r="DF21" s="258">
        <f t="shared" si="26"/>
        <v>199743.07</v>
      </c>
      <c r="DG21" s="120" t="s">
        <v>46</v>
      </c>
      <c r="DH21" s="81">
        <v>0</v>
      </c>
      <c r="DI21" s="283">
        <v>59130.18</v>
      </c>
      <c r="DJ21" s="85">
        <f t="shared" si="53"/>
        <v>199743.07</v>
      </c>
      <c r="DK21" s="203">
        <f>+DJ21/DH18</f>
        <v>0.00485284426627794</v>
      </c>
      <c r="DL21" s="172">
        <v>0</v>
      </c>
      <c r="DM21" s="173">
        <v>0</v>
      </c>
      <c r="DN21" s="174">
        <f t="shared" si="28"/>
        <v>0</v>
      </c>
      <c r="DO21" s="208">
        <f>+DN21/DN51</f>
        <v>0</v>
      </c>
      <c r="DP21" s="90">
        <v>0</v>
      </c>
      <c r="DQ21" s="258">
        <f t="shared" si="50"/>
        <v>199743.07</v>
      </c>
    </row>
    <row r="22" spans="1:121" ht="21">
      <c r="A22" s="120" t="s">
        <v>97</v>
      </c>
      <c r="B22" s="81">
        <v>0</v>
      </c>
      <c r="C22" s="38">
        <f t="shared" si="29"/>
        <v>366548.51</v>
      </c>
      <c r="D22" s="85">
        <f t="shared" si="30"/>
        <v>366548.51</v>
      </c>
      <c r="E22" s="203">
        <f>+D22/B19</f>
        <v>0.005510994950508964</v>
      </c>
      <c r="F22" s="172">
        <v>0</v>
      </c>
      <c r="G22" s="173">
        <v>0</v>
      </c>
      <c r="H22" s="174">
        <f t="shared" si="31"/>
        <v>0</v>
      </c>
      <c r="I22" s="208">
        <f>+H22/H51</f>
        <v>0</v>
      </c>
      <c r="J22" s="90">
        <v>366548.51</v>
      </c>
      <c r="K22" s="85">
        <f t="shared" si="32"/>
        <v>366548.51</v>
      </c>
      <c r="L22" s="120" t="s">
        <v>97</v>
      </c>
      <c r="M22" s="81">
        <v>0</v>
      </c>
      <c r="N22" s="38">
        <f t="shared" si="33"/>
        <v>361908.39</v>
      </c>
      <c r="O22" s="85">
        <f t="shared" si="34"/>
        <v>728456.9</v>
      </c>
      <c r="P22" s="203">
        <f>+O22/M19</f>
        <v>0.010952226480373398</v>
      </c>
      <c r="Q22" s="172">
        <v>0</v>
      </c>
      <c r="R22" s="173">
        <v>42158</v>
      </c>
      <c r="S22" s="174">
        <f t="shared" si="35"/>
        <v>42158</v>
      </c>
      <c r="T22" s="208">
        <f>+S22/S51</f>
        <v>0.24314689456809677</v>
      </c>
      <c r="U22" s="90">
        <v>404066.39</v>
      </c>
      <c r="V22" s="85">
        <f t="shared" si="36"/>
        <v>770614.9</v>
      </c>
      <c r="W22" s="120" t="s">
        <v>97</v>
      </c>
      <c r="X22" s="81">
        <v>0</v>
      </c>
      <c r="Y22" s="38">
        <f t="shared" si="37"/>
        <v>157624</v>
      </c>
      <c r="Z22" s="85">
        <f t="shared" si="38"/>
        <v>886080.9</v>
      </c>
      <c r="AA22" s="203">
        <f>+Z22/X19</f>
        <v>0.013322076703142071</v>
      </c>
      <c r="AB22" s="172">
        <v>0</v>
      </c>
      <c r="AC22" s="173">
        <v>0</v>
      </c>
      <c r="AD22" s="174">
        <f t="shared" si="39"/>
        <v>42158</v>
      </c>
      <c r="AE22" s="208">
        <f>+AD22/AD51</f>
        <v>0.08734118962064799</v>
      </c>
      <c r="AF22" s="90">
        <v>157624</v>
      </c>
      <c r="AG22" s="85">
        <f t="shared" si="40"/>
        <v>928238.9</v>
      </c>
      <c r="AH22" s="120" t="s">
        <v>97</v>
      </c>
      <c r="AI22" s="81">
        <v>0</v>
      </c>
      <c r="AJ22" s="38">
        <f t="shared" si="41"/>
        <v>409122</v>
      </c>
      <c r="AK22" s="85">
        <f t="shared" si="42"/>
        <v>1295202.9</v>
      </c>
      <c r="AL22" s="203">
        <f>+AK22/AI19</f>
        <v>0.019473156886613906</v>
      </c>
      <c r="AM22" s="172">
        <v>0</v>
      </c>
      <c r="AN22" s="173">
        <v>0</v>
      </c>
      <c r="AO22" s="174">
        <f t="shared" si="43"/>
        <v>42158</v>
      </c>
      <c r="AP22" s="208">
        <f>+AO22/AO51</f>
        <v>0.061941902292269126</v>
      </c>
      <c r="AQ22" s="90">
        <v>409122</v>
      </c>
      <c r="AR22" s="85">
        <f t="shared" si="44"/>
        <v>1337360.9</v>
      </c>
      <c r="AS22" s="120" t="s">
        <v>97</v>
      </c>
      <c r="AT22" s="81">
        <v>0</v>
      </c>
      <c r="AU22" s="38">
        <f t="shared" si="45"/>
        <v>195579</v>
      </c>
      <c r="AV22" s="85">
        <f t="shared" si="46"/>
        <v>1490781.9</v>
      </c>
      <c r="AW22" s="203">
        <f>+AV22/AT19</f>
        <v>0.022417772932330826</v>
      </c>
      <c r="AX22" s="172">
        <v>0</v>
      </c>
      <c r="AY22" s="173">
        <v>0</v>
      </c>
      <c r="AZ22" s="174">
        <f t="shared" si="47"/>
        <v>42158</v>
      </c>
      <c r="BA22" s="208">
        <f>+AZ22/AZ51</f>
        <v>0.03208673376435665</v>
      </c>
      <c r="BB22" s="90">
        <v>195579</v>
      </c>
      <c r="BC22" s="258">
        <f>+BB22+AR22</f>
        <v>1532939.9</v>
      </c>
      <c r="BD22" s="120" t="s">
        <v>97</v>
      </c>
      <c r="BE22" s="81">
        <v>0</v>
      </c>
      <c r="BF22" s="38">
        <f t="shared" si="56"/>
        <v>245790</v>
      </c>
      <c r="BG22" s="85">
        <f t="shared" si="54"/>
        <v>1736571.9</v>
      </c>
      <c r="BH22" s="203">
        <f>+BG22/BE19</f>
        <v>0.026113863157894737</v>
      </c>
      <c r="BI22" s="172">
        <v>0</v>
      </c>
      <c r="BJ22" s="173">
        <v>0</v>
      </c>
      <c r="BK22" s="174">
        <f t="shared" si="48"/>
        <v>42158</v>
      </c>
      <c r="BL22" s="208">
        <f>+BK22/BK51</f>
        <v>0.03191488290584804</v>
      </c>
      <c r="BM22" s="90">
        <v>245790</v>
      </c>
      <c r="BN22" s="258">
        <f t="shared" si="7"/>
        <v>1778729.9</v>
      </c>
      <c r="BO22" s="120" t="s">
        <v>97</v>
      </c>
      <c r="BP22" s="81">
        <v>0</v>
      </c>
      <c r="BQ22" s="38">
        <f t="shared" si="57"/>
        <v>249754.2</v>
      </c>
      <c r="BR22" s="85">
        <f t="shared" si="9"/>
        <v>1986326.0999999999</v>
      </c>
      <c r="BS22" s="203">
        <f>+BR22/BP19</f>
        <v>0.029869565413533833</v>
      </c>
      <c r="BT22" s="172">
        <v>0</v>
      </c>
      <c r="BU22" s="173">
        <v>0</v>
      </c>
      <c r="BV22" s="174">
        <f t="shared" si="49"/>
        <v>42158</v>
      </c>
      <c r="BW22" s="208">
        <f>+BV22/BV51</f>
        <v>0.018775891756765792</v>
      </c>
      <c r="BX22" s="90">
        <v>249754.2</v>
      </c>
      <c r="BY22" s="258">
        <f t="shared" si="11"/>
        <v>2028484.0999999999</v>
      </c>
      <c r="BZ22" s="120" t="s">
        <v>97</v>
      </c>
      <c r="CA22" s="81">
        <v>0</v>
      </c>
      <c r="CB22" s="38">
        <f t="shared" si="58"/>
        <v>262479.44</v>
      </c>
      <c r="CC22" s="85">
        <f t="shared" si="13"/>
        <v>2248805.54</v>
      </c>
      <c r="CD22" s="203">
        <f>+CC22/CA19</f>
        <v>0.03381662466165414</v>
      </c>
      <c r="CE22" s="172">
        <v>0</v>
      </c>
      <c r="CF22" s="173">
        <v>0</v>
      </c>
      <c r="CG22" s="174">
        <f t="shared" si="59"/>
        <v>42158</v>
      </c>
      <c r="CH22" s="208">
        <f>+CG22/CG51</f>
        <v>0.018321045055216735</v>
      </c>
      <c r="CI22" s="90">
        <v>262479.44</v>
      </c>
      <c r="CJ22" s="258">
        <f t="shared" si="60"/>
        <v>2290963.54</v>
      </c>
      <c r="CK22" s="120" t="s">
        <v>97</v>
      </c>
      <c r="CL22" s="81">
        <v>0</v>
      </c>
      <c r="CM22" s="38">
        <f t="shared" si="55"/>
        <v>348820.68</v>
      </c>
      <c r="CN22" s="85">
        <f t="shared" si="18"/>
        <v>2597626.22</v>
      </c>
      <c r="CO22" s="203">
        <f>+CN22/CL19</f>
        <v>0.03906204842105263</v>
      </c>
      <c r="CP22" s="172">
        <v>0</v>
      </c>
      <c r="CQ22" s="173">
        <v>0</v>
      </c>
      <c r="CR22" s="174">
        <f t="shared" si="20"/>
        <v>42158</v>
      </c>
      <c r="CS22" s="208">
        <f>+CR22/CR51</f>
        <v>0.01579743188196873</v>
      </c>
      <c r="CT22" s="90">
        <f>333532+15288.68</f>
        <v>348820.68</v>
      </c>
      <c r="CU22" s="258">
        <f t="shared" si="21"/>
        <v>2639784.22</v>
      </c>
      <c r="CV22" s="120" t="s">
        <v>97</v>
      </c>
      <c r="CW22" s="81">
        <v>0</v>
      </c>
      <c r="CX22" s="38">
        <f t="shared" si="22"/>
        <v>209866</v>
      </c>
      <c r="CY22" s="85">
        <f t="shared" si="23"/>
        <v>2807492.22</v>
      </c>
      <c r="CZ22" s="203">
        <f>+CY22/CW19</f>
        <v>0.04221792812030076</v>
      </c>
      <c r="DA22" s="172">
        <v>0</v>
      </c>
      <c r="DB22" s="173">
        <v>0</v>
      </c>
      <c r="DC22" s="174">
        <f t="shared" si="25"/>
        <v>42158</v>
      </c>
      <c r="DD22" s="208">
        <f>+DC22/DC51</f>
        <v>0.014047646459251524</v>
      </c>
      <c r="DE22" s="90">
        <v>209866</v>
      </c>
      <c r="DF22" s="258">
        <f t="shared" si="26"/>
        <v>2849650.22</v>
      </c>
      <c r="DG22" s="120" t="s">
        <v>97</v>
      </c>
      <c r="DH22" s="81">
        <v>0</v>
      </c>
      <c r="DI22" s="283">
        <v>198554</v>
      </c>
      <c r="DJ22" s="85">
        <f t="shared" si="53"/>
        <v>2807492.22</v>
      </c>
      <c r="DK22" s="203">
        <f>+DJ22/DH19</f>
        <v>0.04221792812030076</v>
      </c>
      <c r="DL22" s="172">
        <v>0</v>
      </c>
      <c r="DM22" s="173">
        <v>0</v>
      </c>
      <c r="DN22" s="174">
        <f t="shared" si="28"/>
        <v>42158</v>
      </c>
      <c r="DO22" s="208">
        <f>+DN22/DN51</f>
        <v>0.012624375877888297</v>
      </c>
      <c r="DP22" s="90">
        <v>0</v>
      </c>
      <c r="DQ22" s="258">
        <f t="shared" si="50"/>
        <v>2849650.22</v>
      </c>
    </row>
    <row r="23" spans="1:121" ht="21">
      <c r="A23" s="120" t="s">
        <v>105</v>
      </c>
      <c r="B23" s="81">
        <v>0</v>
      </c>
      <c r="C23" s="38">
        <f t="shared" si="29"/>
        <v>9050</v>
      </c>
      <c r="D23" s="85">
        <f t="shared" si="30"/>
        <v>9050</v>
      </c>
      <c r="E23" s="203">
        <f>+D23/B15</f>
        <v>0.003511748798128226</v>
      </c>
      <c r="F23" s="172">
        <v>0</v>
      </c>
      <c r="G23" s="173">
        <v>0</v>
      </c>
      <c r="H23" s="174">
        <f t="shared" si="31"/>
        <v>0</v>
      </c>
      <c r="I23" s="208">
        <f>+H23/H51</f>
        <v>0</v>
      </c>
      <c r="J23" s="90">
        <v>9050</v>
      </c>
      <c r="K23" s="85">
        <f t="shared" si="32"/>
        <v>9050</v>
      </c>
      <c r="L23" s="120" t="s">
        <v>105</v>
      </c>
      <c r="M23" s="81">
        <v>0</v>
      </c>
      <c r="N23" s="38">
        <f t="shared" si="33"/>
        <v>6670</v>
      </c>
      <c r="O23" s="85">
        <f t="shared" si="34"/>
        <v>15720</v>
      </c>
      <c r="P23" s="203">
        <f>+O23/M15</f>
        <v>0.006099965868129913</v>
      </c>
      <c r="Q23" s="172">
        <v>0</v>
      </c>
      <c r="R23" s="173">
        <v>0</v>
      </c>
      <c r="S23" s="174">
        <f t="shared" si="35"/>
        <v>0</v>
      </c>
      <c r="T23" s="208">
        <f>+S23/S51</f>
        <v>0</v>
      </c>
      <c r="U23" s="90">
        <v>6670</v>
      </c>
      <c r="V23" s="85">
        <f t="shared" si="36"/>
        <v>15720</v>
      </c>
      <c r="W23" s="120" t="s">
        <v>105</v>
      </c>
      <c r="X23" s="81">
        <v>0</v>
      </c>
      <c r="Y23" s="38">
        <f t="shared" si="37"/>
        <v>10200</v>
      </c>
      <c r="Z23" s="85">
        <f t="shared" si="38"/>
        <v>25920</v>
      </c>
      <c r="AA23" s="203">
        <f>+Z23/X15</f>
        <v>0.010057958988672223</v>
      </c>
      <c r="AB23" s="172">
        <v>0</v>
      </c>
      <c r="AC23" s="173">
        <v>0</v>
      </c>
      <c r="AD23" s="174">
        <f t="shared" si="39"/>
        <v>0</v>
      </c>
      <c r="AE23" s="208">
        <f>+AD23/AD51</f>
        <v>0</v>
      </c>
      <c r="AF23" s="90">
        <v>10200</v>
      </c>
      <c r="AG23" s="85">
        <f t="shared" si="40"/>
        <v>25920</v>
      </c>
      <c r="AH23" s="120" t="s">
        <v>105</v>
      </c>
      <c r="AI23" s="81">
        <v>0</v>
      </c>
      <c r="AJ23" s="38">
        <f t="shared" si="41"/>
        <v>7030</v>
      </c>
      <c r="AK23" s="85">
        <f t="shared" si="42"/>
        <v>32950</v>
      </c>
      <c r="AL23" s="203">
        <f>+AK23/AI15</f>
        <v>0.01278586993351658</v>
      </c>
      <c r="AM23" s="172">
        <v>0</v>
      </c>
      <c r="AN23" s="173">
        <v>0</v>
      </c>
      <c r="AO23" s="174">
        <f t="shared" si="43"/>
        <v>0</v>
      </c>
      <c r="AP23" s="208">
        <f>+AO23/AO51</f>
        <v>0</v>
      </c>
      <c r="AQ23" s="90">
        <v>7030</v>
      </c>
      <c r="AR23" s="85">
        <f t="shared" si="44"/>
        <v>32950</v>
      </c>
      <c r="AS23" s="120" t="s">
        <v>105</v>
      </c>
      <c r="AT23" s="81">
        <v>0</v>
      </c>
      <c r="AU23" s="38">
        <f t="shared" si="45"/>
        <v>7700</v>
      </c>
      <c r="AV23" s="85">
        <f t="shared" si="46"/>
        <v>40650</v>
      </c>
      <c r="AW23" s="203">
        <f>+AV23/AT15</f>
        <v>0.015634615384615386</v>
      </c>
      <c r="AX23" s="172">
        <v>0</v>
      </c>
      <c r="AY23" s="173">
        <v>0</v>
      </c>
      <c r="AZ23" s="174">
        <f t="shared" si="47"/>
        <v>0</v>
      </c>
      <c r="BA23" s="208">
        <f>+AZ23/AZ51</f>
        <v>0</v>
      </c>
      <c r="BB23" s="90">
        <v>7700</v>
      </c>
      <c r="BC23" s="258">
        <f t="shared" si="51"/>
        <v>40650</v>
      </c>
      <c r="BD23" s="120" t="s">
        <v>105</v>
      </c>
      <c r="BE23" s="81">
        <v>0</v>
      </c>
      <c r="BF23" s="38">
        <f t="shared" si="56"/>
        <v>6450</v>
      </c>
      <c r="BG23" s="85">
        <f t="shared" si="54"/>
        <v>47100</v>
      </c>
      <c r="BH23" s="203">
        <f>+BG23/BE15</f>
        <v>0.018115384615384617</v>
      </c>
      <c r="BI23" s="172">
        <v>0</v>
      </c>
      <c r="BJ23" s="173">
        <v>0</v>
      </c>
      <c r="BK23" s="174">
        <f t="shared" si="48"/>
        <v>0</v>
      </c>
      <c r="BL23" s="208">
        <f>+BK23/BK51</f>
        <v>0</v>
      </c>
      <c r="BM23" s="90">
        <v>6450</v>
      </c>
      <c r="BN23" s="258">
        <f aca="true" t="shared" si="61" ref="BN23:BN46">+BM23+BC23</f>
        <v>47100</v>
      </c>
      <c r="BO23" s="120" t="s">
        <v>105</v>
      </c>
      <c r="BP23" s="81">
        <v>0</v>
      </c>
      <c r="BQ23" s="38">
        <f t="shared" si="57"/>
        <v>8460</v>
      </c>
      <c r="BR23" s="85">
        <f t="shared" si="9"/>
        <v>55560</v>
      </c>
      <c r="BS23" s="203">
        <f>+BR23/BP15</f>
        <v>0.02136923076923077</v>
      </c>
      <c r="BT23" s="172">
        <v>0</v>
      </c>
      <c r="BU23" s="173">
        <v>0</v>
      </c>
      <c r="BV23" s="174">
        <f t="shared" si="49"/>
        <v>0</v>
      </c>
      <c r="BW23" s="208">
        <f>+BV23/BV51</f>
        <v>0</v>
      </c>
      <c r="BX23" s="90">
        <v>8460</v>
      </c>
      <c r="BY23" s="258">
        <f t="shared" si="11"/>
        <v>55560</v>
      </c>
      <c r="BZ23" s="120" t="s">
        <v>105</v>
      </c>
      <c r="CA23" s="81">
        <v>0</v>
      </c>
      <c r="CB23" s="38">
        <f t="shared" si="58"/>
        <v>8460</v>
      </c>
      <c r="CC23" s="85">
        <f t="shared" si="13"/>
        <v>64020</v>
      </c>
      <c r="CD23" s="203">
        <f>+CC23/CA15</f>
        <v>0.024623076923076925</v>
      </c>
      <c r="CE23" s="172">
        <v>0</v>
      </c>
      <c r="CF23" s="173">
        <v>0</v>
      </c>
      <c r="CG23" s="174">
        <f t="shared" si="59"/>
        <v>0</v>
      </c>
      <c r="CH23" s="208">
        <f>+CG23/CG51</f>
        <v>0</v>
      </c>
      <c r="CI23" s="90">
        <v>8460</v>
      </c>
      <c r="CJ23" s="258">
        <f t="shared" si="60"/>
        <v>64020</v>
      </c>
      <c r="CK23" s="120" t="s">
        <v>105</v>
      </c>
      <c r="CL23" s="81">
        <v>0</v>
      </c>
      <c r="CM23" s="38">
        <f t="shared" si="55"/>
        <v>9000</v>
      </c>
      <c r="CN23" s="85">
        <f t="shared" si="18"/>
        <v>73020</v>
      </c>
      <c r="CO23" s="203">
        <f>+CN23/CL15</f>
        <v>0.028084615384615385</v>
      </c>
      <c r="CP23" s="172">
        <v>0</v>
      </c>
      <c r="CQ23" s="173">
        <v>0</v>
      </c>
      <c r="CR23" s="174">
        <f t="shared" si="20"/>
        <v>0</v>
      </c>
      <c r="CS23" s="208">
        <f>+CR23/CR51</f>
        <v>0</v>
      </c>
      <c r="CT23" s="90">
        <v>9000</v>
      </c>
      <c r="CU23" s="258">
        <f t="shared" si="21"/>
        <v>73020</v>
      </c>
      <c r="CV23" s="120" t="s">
        <v>105</v>
      </c>
      <c r="CW23" s="81">
        <v>0</v>
      </c>
      <c r="CX23" s="38">
        <f t="shared" si="22"/>
        <v>8650</v>
      </c>
      <c r="CY23" s="85">
        <f t="shared" si="23"/>
        <v>81670</v>
      </c>
      <c r="CZ23" s="203">
        <f>+CY23/CW15</f>
        <v>0.03141153846153846</v>
      </c>
      <c r="DA23" s="172">
        <v>0</v>
      </c>
      <c r="DB23" s="173">
        <v>0</v>
      </c>
      <c r="DC23" s="174">
        <f t="shared" si="25"/>
        <v>0</v>
      </c>
      <c r="DD23" s="208">
        <f>+DC23/DC51</f>
        <v>0</v>
      </c>
      <c r="DE23" s="90">
        <v>8650</v>
      </c>
      <c r="DF23" s="258">
        <f t="shared" si="26"/>
        <v>81670</v>
      </c>
      <c r="DG23" s="120" t="s">
        <v>105</v>
      </c>
      <c r="DH23" s="81">
        <v>0</v>
      </c>
      <c r="DI23" s="283">
        <v>5650</v>
      </c>
      <c r="DJ23" s="85">
        <f t="shared" si="53"/>
        <v>81670</v>
      </c>
      <c r="DK23" s="203">
        <f>+DJ23/DH15</f>
        <v>0.03141153846153846</v>
      </c>
      <c r="DL23" s="172">
        <v>0</v>
      </c>
      <c r="DM23" s="173">
        <v>0</v>
      </c>
      <c r="DN23" s="174">
        <f t="shared" si="28"/>
        <v>0</v>
      </c>
      <c r="DO23" s="208">
        <f>+DN23/DN51</f>
        <v>0</v>
      </c>
      <c r="DP23" s="90">
        <v>0</v>
      </c>
      <c r="DQ23" s="258">
        <f t="shared" si="50"/>
        <v>81670</v>
      </c>
    </row>
    <row r="24" spans="1:121" ht="21">
      <c r="A24" s="120" t="s">
        <v>98</v>
      </c>
      <c r="B24" s="324">
        <v>3203091.83</v>
      </c>
      <c r="C24" s="38">
        <f t="shared" si="29"/>
        <v>0</v>
      </c>
      <c r="D24" s="85">
        <f t="shared" si="30"/>
        <v>0</v>
      </c>
      <c r="E24" s="203">
        <f>+D24/B24</f>
        <v>0</v>
      </c>
      <c r="F24" s="172">
        <v>0</v>
      </c>
      <c r="G24" s="173">
        <v>0</v>
      </c>
      <c r="H24" s="174">
        <f t="shared" si="31"/>
        <v>0</v>
      </c>
      <c r="I24" s="208">
        <f>+H24/H51</f>
        <v>0</v>
      </c>
      <c r="J24" s="90">
        <v>0</v>
      </c>
      <c r="K24" s="85">
        <f t="shared" si="32"/>
        <v>0</v>
      </c>
      <c r="L24" s="120" t="s">
        <v>98</v>
      </c>
      <c r="M24" s="324">
        <v>3203091.83</v>
      </c>
      <c r="N24" s="38">
        <f t="shared" si="33"/>
        <v>11650</v>
      </c>
      <c r="O24" s="85">
        <f t="shared" si="34"/>
        <v>11650</v>
      </c>
      <c r="P24" s="203">
        <f>+O24/M24</f>
        <v>0.003637110834877313</v>
      </c>
      <c r="Q24" s="172">
        <v>0</v>
      </c>
      <c r="R24" s="173">
        <v>0</v>
      </c>
      <c r="S24" s="174">
        <f t="shared" si="35"/>
        <v>0</v>
      </c>
      <c r="T24" s="208">
        <f>+S24/S51</f>
        <v>0</v>
      </c>
      <c r="U24" s="90">
        <v>11650</v>
      </c>
      <c r="V24" s="85">
        <f t="shared" si="36"/>
        <v>11650</v>
      </c>
      <c r="W24" s="120" t="s">
        <v>98</v>
      </c>
      <c r="X24" s="324">
        <v>3203091.83</v>
      </c>
      <c r="Y24" s="38">
        <f t="shared" si="37"/>
        <v>0</v>
      </c>
      <c r="Z24" s="85">
        <f t="shared" si="38"/>
        <v>11650</v>
      </c>
      <c r="AA24" s="203">
        <f>+Z24/X24</f>
        <v>0.003637110834877313</v>
      </c>
      <c r="AB24" s="172">
        <v>0</v>
      </c>
      <c r="AC24" s="173">
        <v>0</v>
      </c>
      <c r="AD24" s="174">
        <f t="shared" si="39"/>
        <v>0</v>
      </c>
      <c r="AE24" s="208">
        <f>+AD24/AD51</f>
        <v>0</v>
      </c>
      <c r="AF24" s="90">
        <v>0</v>
      </c>
      <c r="AG24" s="85">
        <f t="shared" si="40"/>
        <v>11650</v>
      </c>
      <c r="AH24" s="120" t="s">
        <v>98</v>
      </c>
      <c r="AI24" s="324">
        <v>3203091.83</v>
      </c>
      <c r="AJ24" s="38">
        <f t="shared" si="41"/>
        <v>73100</v>
      </c>
      <c r="AK24" s="85">
        <f t="shared" si="42"/>
        <v>84750</v>
      </c>
      <c r="AL24" s="203">
        <f>+AK24/AI24</f>
        <v>0.02645881057990148</v>
      </c>
      <c r="AM24" s="172">
        <v>0</v>
      </c>
      <c r="AN24" s="173">
        <v>0</v>
      </c>
      <c r="AO24" s="174">
        <f t="shared" si="43"/>
        <v>0</v>
      </c>
      <c r="AP24" s="208">
        <f>+AO24/AO51</f>
        <v>0</v>
      </c>
      <c r="AQ24" s="90">
        <v>73100</v>
      </c>
      <c r="AR24" s="85">
        <f t="shared" si="44"/>
        <v>84750</v>
      </c>
      <c r="AS24" s="120" t="s">
        <v>98</v>
      </c>
      <c r="AT24" s="324">
        <v>400200</v>
      </c>
      <c r="AU24" s="38">
        <f t="shared" si="45"/>
        <v>0</v>
      </c>
      <c r="AV24" s="85">
        <f t="shared" si="46"/>
        <v>84750</v>
      </c>
      <c r="AW24" s="203">
        <f>+AV24/AT24</f>
        <v>0.21176911544227886</v>
      </c>
      <c r="AX24" s="172">
        <v>0</v>
      </c>
      <c r="AY24" s="173">
        <v>0</v>
      </c>
      <c r="AZ24" s="174">
        <f t="shared" si="47"/>
        <v>0</v>
      </c>
      <c r="BA24" s="208">
        <f>+AZ24/AZ51</f>
        <v>0</v>
      </c>
      <c r="BB24" s="90">
        <v>0</v>
      </c>
      <c r="BC24" s="258">
        <f t="shared" si="51"/>
        <v>84750</v>
      </c>
      <c r="BD24" s="120" t="s">
        <v>98</v>
      </c>
      <c r="BE24" s="276">
        <v>400200</v>
      </c>
      <c r="BF24" s="38">
        <f t="shared" si="56"/>
        <v>29700</v>
      </c>
      <c r="BG24" s="85">
        <f t="shared" si="54"/>
        <v>114450</v>
      </c>
      <c r="BH24" s="203">
        <f>+BG24/BE24</f>
        <v>0.28598200899550225</v>
      </c>
      <c r="BI24" s="172">
        <v>0</v>
      </c>
      <c r="BJ24" s="173">
        <v>0</v>
      </c>
      <c r="BK24" s="174">
        <f t="shared" si="48"/>
        <v>0</v>
      </c>
      <c r="BL24" s="208">
        <f>+BK24/BK51</f>
        <v>0</v>
      </c>
      <c r="BM24" s="90">
        <v>29700</v>
      </c>
      <c r="BN24" s="258">
        <f t="shared" si="61"/>
        <v>114450</v>
      </c>
      <c r="BO24" s="120" t="s">
        <v>98</v>
      </c>
      <c r="BP24" s="276">
        <v>400200</v>
      </c>
      <c r="BQ24" s="38">
        <f t="shared" si="57"/>
        <v>18900</v>
      </c>
      <c r="BR24" s="85">
        <f>+BY24-BV24</f>
        <v>133350</v>
      </c>
      <c r="BS24" s="203">
        <f>+BR24/BP24</f>
        <v>0.33320839580209893</v>
      </c>
      <c r="BT24" s="172">
        <v>0</v>
      </c>
      <c r="BU24" s="173">
        <v>0</v>
      </c>
      <c r="BV24" s="174">
        <f t="shared" si="49"/>
        <v>0</v>
      </c>
      <c r="BW24" s="208">
        <f>+BV24/BV51</f>
        <v>0</v>
      </c>
      <c r="BX24" s="90">
        <v>18900</v>
      </c>
      <c r="BY24" s="258">
        <f t="shared" si="11"/>
        <v>133350</v>
      </c>
      <c r="BZ24" s="120" t="s">
        <v>98</v>
      </c>
      <c r="CA24" s="276">
        <v>400200</v>
      </c>
      <c r="CB24" s="38">
        <f>+CI24-CF24</f>
        <v>92700</v>
      </c>
      <c r="CC24" s="85">
        <f t="shared" si="13"/>
        <v>226050</v>
      </c>
      <c r="CD24" s="203">
        <f>+CC24/CA24</f>
        <v>0.5648425787106447</v>
      </c>
      <c r="CE24" s="172">
        <v>0</v>
      </c>
      <c r="CF24" s="173">
        <v>0</v>
      </c>
      <c r="CG24" s="174">
        <f t="shared" si="59"/>
        <v>0</v>
      </c>
      <c r="CH24" s="208">
        <f>+CG24/CG51</f>
        <v>0</v>
      </c>
      <c r="CI24" s="90">
        <v>92700</v>
      </c>
      <c r="CJ24" s="258">
        <f t="shared" si="60"/>
        <v>226050</v>
      </c>
      <c r="CK24" s="120" t="s">
        <v>98</v>
      </c>
      <c r="CL24" s="276">
        <v>400200</v>
      </c>
      <c r="CM24" s="38">
        <f t="shared" si="55"/>
        <v>76500</v>
      </c>
      <c r="CN24" s="85">
        <f t="shared" si="18"/>
        <v>302550</v>
      </c>
      <c r="CO24" s="203">
        <f>+CN24/CL24</f>
        <v>0.7559970014992504</v>
      </c>
      <c r="CP24" s="172">
        <v>0</v>
      </c>
      <c r="CQ24" s="173">
        <v>0</v>
      </c>
      <c r="CR24" s="174">
        <f t="shared" si="20"/>
        <v>0</v>
      </c>
      <c r="CS24" s="208">
        <f>+CR24/CR51</f>
        <v>0</v>
      </c>
      <c r="CT24" s="90">
        <v>76500</v>
      </c>
      <c r="CU24" s="258">
        <f t="shared" si="21"/>
        <v>302550</v>
      </c>
      <c r="CV24" s="120" t="s">
        <v>98</v>
      </c>
      <c r="CW24" s="276">
        <v>400200</v>
      </c>
      <c r="CX24" s="38">
        <f t="shared" si="22"/>
        <v>120100</v>
      </c>
      <c r="CY24" s="85">
        <f t="shared" si="23"/>
        <v>422650</v>
      </c>
      <c r="CZ24" s="203">
        <f>+CY24/CW24</f>
        <v>1.0560969515242378</v>
      </c>
      <c r="DA24" s="172">
        <v>0</v>
      </c>
      <c r="DB24" s="173">
        <v>0</v>
      </c>
      <c r="DC24" s="174">
        <f t="shared" si="25"/>
        <v>0</v>
      </c>
      <c r="DD24" s="208">
        <f>+DC24/DC51</f>
        <v>0</v>
      </c>
      <c r="DE24" s="90">
        <v>120100</v>
      </c>
      <c r="DF24" s="258">
        <f t="shared" si="26"/>
        <v>422650</v>
      </c>
      <c r="DG24" s="120" t="s">
        <v>98</v>
      </c>
      <c r="DH24" s="276">
        <v>400200</v>
      </c>
      <c r="DI24" s="283">
        <v>104100</v>
      </c>
      <c r="DJ24" s="85">
        <f t="shared" si="53"/>
        <v>526750</v>
      </c>
      <c r="DK24" s="203">
        <f>+DJ24/DH24</f>
        <v>1.316216891554223</v>
      </c>
      <c r="DL24" s="172">
        <v>0</v>
      </c>
      <c r="DM24" s="173">
        <v>0</v>
      </c>
      <c r="DN24" s="174">
        <f t="shared" si="28"/>
        <v>0</v>
      </c>
      <c r="DO24" s="208">
        <f>+DN24/DN51</f>
        <v>0</v>
      </c>
      <c r="DP24" s="90">
        <f>DI24</f>
        <v>104100</v>
      </c>
      <c r="DQ24" s="258">
        <f t="shared" si="50"/>
        <v>526750</v>
      </c>
    </row>
    <row r="25" spans="1:121" ht="23.25" customHeight="1">
      <c r="A25" s="120" t="s">
        <v>76</v>
      </c>
      <c r="B25" s="325"/>
      <c r="C25" s="38">
        <f t="shared" si="29"/>
        <v>0</v>
      </c>
      <c r="D25" s="85">
        <f t="shared" si="30"/>
        <v>0</v>
      </c>
      <c r="E25" s="203">
        <f>+D25/B24</f>
        <v>0</v>
      </c>
      <c r="F25" s="172">
        <v>0</v>
      </c>
      <c r="G25" s="173">
        <v>0</v>
      </c>
      <c r="H25" s="174">
        <f t="shared" si="31"/>
        <v>0</v>
      </c>
      <c r="I25" s="208">
        <f>+H25/H51</f>
        <v>0</v>
      </c>
      <c r="J25" s="90">
        <v>0</v>
      </c>
      <c r="K25" s="85">
        <f t="shared" si="32"/>
        <v>0</v>
      </c>
      <c r="L25" s="120" t="s">
        <v>76</v>
      </c>
      <c r="M25" s="325"/>
      <c r="N25" s="38">
        <f t="shared" si="33"/>
        <v>0</v>
      </c>
      <c r="O25" s="85">
        <f t="shared" si="34"/>
        <v>0</v>
      </c>
      <c r="P25" s="203">
        <f>+O25/M24</f>
        <v>0</v>
      </c>
      <c r="Q25" s="172">
        <v>0</v>
      </c>
      <c r="R25" s="173">
        <v>0</v>
      </c>
      <c r="S25" s="174">
        <f t="shared" si="35"/>
        <v>0</v>
      </c>
      <c r="T25" s="208">
        <f>+S25/S51</f>
        <v>0</v>
      </c>
      <c r="U25" s="90">
        <v>0</v>
      </c>
      <c r="V25" s="85">
        <f t="shared" si="36"/>
        <v>0</v>
      </c>
      <c r="W25" s="120" t="s">
        <v>76</v>
      </c>
      <c r="X25" s="325"/>
      <c r="Y25" s="38">
        <f t="shared" si="37"/>
        <v>0</v>
      </c>
      <c r="Z25" s="85">
        <f t="shared" si="38"/>
        <v>0</v>
      </c>
      <c r="AA25" s="203">
        <f>+Z25/X24</f>
        <v>0</v>
      </c>
      <c r="AB25" s="172">
        <v>0</v>
      </c>
      <c r="AC25" s="173">
        <v>0</v>
      </c>
      <c r="AD25" s="174">
        <f t="shared" si="39"/>
        <v>0</v>
      </c>
      <c r="AE25" s="208">
        <f>+AD25/AD51</f>
        <v>0</v>
      </c>
      <c r="AF25" s="90">
        <v>0</v>
      </c>
      <c r="AG25" s="85">
        <f t="shared" si="40"/>
        <v>0</v>
      </c>
      <c r="AH25" s="120" t="s">
        <v>76</v>
      </c>
      <c r="AI25" s="325"/>
      <c r="AJ25" s="38">
        <f t="shared" si="41"/>
        <v>0</v>
      </c>
      <c r="AK25" s="85">
        <f t="shared" si="42"/>
        <v>0</v>
      </c>
      <c r="AL25" s="203">
        <f>+AK25/AI24</f>
        <v>0</v>
      </c>
      <c r="AM25" s="172">
        <v>0</v>
      </c>
      <c r="AN25" s="173">
        <v>0</v>
      </c>
      <c r="AO25" s="174">
        <f t="shared" si="43"/>
        <v>0</v>
      </c>
      <c r="AP25" s="208">
        <f>+AO25/AO51</f>
        <v>0</v>
      </c>
      <c r="AQ25" s="90">
        <v>0</v>
      </c>
      <c r="AR25" s="85">
        <f t="shared" si="44"/>
        <v>0</v>
      </c>
      <c r="AS25" s="120" t="s">
        <v>76</v>
      </c>
      <c r="AT25" s="325"/>
      <c r="AU25" s="38">
        <f t="shared" si="45"/>
        <v>0</v>
      </c>
      <c r="AV25" s="85">
        <f t="shared" si="46"/>
        <v>0</v>
      </c>
      <c r="AW25" s="203">
        <f>+AV25/AT24</f>
        <v>0</v>
      </c>
      <c r="AX25" s="172">
        <v>0</v>
      </c>
      <c r="AY25" s="173">
        <v>0</v>
      </c>
      <c r="AZ25" s="174">
        <f t="shared" si="47"/>
        <v>0</v>
      </c>
      <c r="BA25" s="208">
        <f>+AZ25/AZ51</f>
        <v>0</v>
      </c>
      <c r="BB25" s="90">
        <v>0</v>
      </c>
      <c r="BC25" s="258">
        <f t="shared" si="51"/>
        <v>0</v>
      </c>
      <c r="BD25" s="120" t="s">
        <v>76</v>
      </c>
      <c r="BE25" s="277"/>
      <c r="BF25" s="38">
        <f t="shared" si="56"/>
        <v>0</v>
      </c>
      <c r="BG25" s="85">
        <f t="shared" si="54"/>
        <v>0</v>
      </c>
      <c r="BH25" s="203">
        <f>+BG25/BE24</f>
        <v>0</v>
      </c>
      <c r="BI25" s="172">
        <v>0</v>
      </c>
      <c r="BJ25" s="173">
        <v>0</v>
      </c>
      <c r="BK25" s="174">
        <f t="shared" si="48"/>
        <v>0</v>
      </c>
      <c r="BL25" s="208">
        <f>+BK25/BK51</f>
        <v>0</v>
      </c>
      <c r="BM25" s="90">
        <v>0</v>
      </c>
      <c r="BN25" s="258">
        <f t="shared" si="61"/>
        <v>0</v>
      </c>
      <c r="BO25" s="120" t="s">
        <v>76</v>
      </c>
      <c r="BP25" s="277"/>
      <c r="BQ25" s="38">
        <f t="shared" si="57"/>
        <v>4000</v>
      </c>
      <c r="BR25" s="85">
        <f t="shared" si="9"/>
        <v>4000</v>
      </c>
      <c r="BS25" s="203">
        <f>+BR25/BP24</f>
        <v>0.009995002498750625</v>
      </c>
      <c r="BT25" s="172">
        <v>0</v>
      </c>
      <c r="BU25" s="173">
        <v>0</v>
      </c>
      <c r="BV25" s="174">
        <f t="shared" si="49"/>
        <v>0</v>
      </c>
      <c r="BW25" s="208">
        <f>+BV25/BV51</f>
        <v>0</v>
      </c>
      <c r="BX25" s="90">
        <v>4000</v>
      </c>
      <c r="BY25" s="258">
        <f t="shared" si="11"/>
        <v>4000</v>
      </c>
      <c r="BZ25" s="120" t="s">
        <v>76</v>
      </c>
      <c r="CA25" s="277"/>
      <c r="CB25" s="38">
        <f t="shared" si="58"/>
        <v>0</v>
      </c>
      <c r="CC25" s="85">
        <f aca="true" t="shared" si="62" ref="CC25:CC44">+CJ25-CG25</f>
        <v>4000</v>
      </c>
      <c r="CD25" s="203">
        <f>+CC25/CA24</f>
        <v>0.009995002498750625</v>
      </c>
      <c r="CE25" s="172">
        <v>0</v>
      </c>
      <c r="CF25" s="173">
        <v>0</v>
      </c>
      <c r="CG25" s="174">
        <f t="shared" si="59"/>
        <v>0</v>
      </c>
      <c r="CH25" s="208">
        <f>+CG25/CG51</f>
        <v>0</v>
      </c>
      <c r="CI25" s="90">
        <v>0</v>
      </c>
      <c r="CJ25" s="258">
        <f t="shared" si="60"/>
        <v>4000</v>
      </c>
      <c r="CK25" s="120" t="s">
        <v>76</v>
      </c>
      <c r="CL25" s="277"/>
      <c r="CM25" s="38">
        <f aca="true" t="shared" si="63" ref="CM25:CM48">+CT25-CQ25</f>
        <v>0</v>
      </c>
      <c r="CN25" s="85">
        <f t="shared" si="18"/>
        <v>4000</v>
      </c>
      <c r="CO25" s="203">
        <f>+CN25/CL24</f>
        <v>0.009995002498750625</v>
      </c>
      <c r="CP25" s="172">
        <v>0</v>
      </c>
      <c r="CQ25" s="173">
        <v>0</v>
      </c>
      <c r="CR25" s="174">
        <f t="shared" si="20"/>
        <v>0</v>
      </c>
      <c r="CS25" s="208">
        <f>+CR25/CR51</f>
        <v>0</v>
      </c>
      <c r="CT25" s="90">
        <v>0</v>
      </c>
      <c r="CU25" s="258">
        <f t="shared" si="21"/>
        <v>4000</v>
      </c>
      <c r="CV25" s="120" t="s">
        <v>76</v>
      </c>
      <c r="CW25" s="277"/>
      <c r="CX25" s="38">
        <f t="shared" si="22"/>
        <v>0</v>
      </c>
      <c r="CY25" s="85">
        <f t="shared" si="23"/>
        <v>4000</v>
      </c>
      <c r="CZ25" s="203">
        <f>+CY25/CW24</f>
        <v>0.009995002498750625</v>
      </c>
      <c r="DA25" s="172">
        <v>0</v>
      </c>
      <c r="DB25" s="173">
        <v>0</v>
      </c>
      <c r="DC25" s="174">
        <f t="shared" si="25"/>
        <v>0</v>
      </c>
      <c r="DD25" s="208">
        <f>+DC25/DC51</f>
        <v>0</v>
      </c>
      <c r="DE25" s="90">
        <v>0</v>
      </c>
      <c r="DF25" s="258">
        <f t="shared" si="26"/>
        <v>4000</v>
      </c>
      <c r="DG25" s="120" t="s">
        <v>76</v>
      </c>
      <c r="DH25" s="277"/>
      <c r="DI25" s="283">
        <v>35000</v>
      </c>
      <c r="DJ25" s="85">
        <f t="shared" si="53"/>
        <v>39000</v>
      </c>
      <c r="DK25" s="203">
        <f>+DJ25/DH24</f>
        <v>0.09745127436281859</v>
      </c>
      <c r="DL25" s="172">
        <v>0</v>
      </c>
      <c r="DM25" s="173">
        <v>0</v>
      </c>
      <c r="DN25" s="174">
        <f t="shared" si="28"/>
        <v>0</v>
      </c>
      <c r="DO25" s="208">
        <f>+DN25/DN51</f>
        <v>0</v>
      </c>
      <c r="DP25" s="90">
        <f>DI25</f>
        <v>35000</v>
      </c>
      <c r="DQ25" s="258">
        <f t="shared" si="50"/>
        <v>39000</v>
      </c>
    </row>
    <row r="26" spans="1:121" ht="23.25" customHeight="1">
      <c r="A26" s="120" t="s">
        <v>99</v>
      </c>
      <c r="B26" s="325"/>
      <c r="C26" s="38">
        <f t="shared" si="29"/>
        <v>98</v>
      </c>
      <c r="D26" s="85">
        <f t="shared" si="30"/>
        <v>98</v>
      </c>
      <c r="E26" s="203">
        <f>+D26/B24</f>
        <v>3.059543878265894E-05</v>
      </c>
      <c r="F26" s="172">
        <v>0</v>
      </c>
      <c r="G26" s="173">
        <v>0</v>
      </c>
      <c r="H26" s="174">
        <f t="shared" si="31"/>
        <v>0</v>
      </c>
      <c r="I26" s="208">
        <f>+H26/H51</f>
        <v>0</v>
      </c>
      <c r="J26" s="90">
        <v>98</v>
      </c>
      <c r="K26" s="85">
        <f t="shared" si="32"/>
        <v>98</v>
      </c>
      <c r="L26" s="120" t="s">
        <v>99</v>
      </c>
      <c r="M26" s="325"/>
      <c r="N26" s="38">
        <f t="shared" si="33"/>
        <v>0</v>
      </c>
      <c r="O26" s="85">
        <f t="shared" si="34"/>
        <v>98</v>
      </c>
      <c r="P26" s="203">
        <f>+O26/M24</f>
        <v>3.059543878265894E-05</v>
      </c>
      <c r="Q26" s="172">
        <v>0</v>
      </c>
      <c r="R26" s="173">
        <v>0</v>
      </c>
      <c r="S26" s="174">
        <f t="shared" si="35"/>
        <v>0</v>
      </c>
      <c r="T26" s="208">
        <f>+S26/S51</f>
        <v>0</v>
      </c>
      <c r="U26" s="90">
        <v>0</v>
      </c>
      <c r="V26" s="85">
        <f t="shared" si="36"/>
        <v>98</v>
      </c>
      <c r="W26" s="120" t="s">
        <v>99</v>
      </c>
      <c r="X26" s="325"/>
      <c r="Y26" s="38">
        <f t="shared" si="37"/>
        <v>0</v>
      </c>
      <c r="Z26" s="85">
        <f t="shared" si="38"/>
        <v>98</v>
      </c>
      <c r="AA26" s="203">
        <f>+Z26/X24</f>
        <v>3.059543878265894E-05</v>
      </c>
      <c r="AB26" s="172">
        <v>0</v>
      </c>
      <c r="AC26" s="173">
        <v>0</v>
      </c>
      <c r="AD26" s="174">
        <f t="shared" si="39"/>
        <v>0</v>
      </c>
      <c r="AE26" s="208">
        <f>+AD26/AD51</f>
        <v>0</v>
      </c>
      <c r="AF26" s="90">
        <v>0</v>
      </c>
      <c r="AG26" s="85">
        <f t="shared" si="40"/>
        <v>98</v>
      </c>
      <c r="AH26" s="120" t="s">
        <v>99</v>
      </c>
      <c r="AI26" s="325"/>
      <c r="AJ26" s="38">
        <f t="shared" si="41"/>
        <v>0</v>
      </c>
      <c r="AK26" s="85">
        <f t="shared" si="42"/>
        <v>98</v>
      </c>
      <c r="AL26" s="203">
        <f>+AK26/AI24</f>
        <v>3.059543878265894E-05</v>
      </c>
      <c r="AM26" s="172">
        <v>0</v>
      </c>
      <c r="AN26" s="173">
        <v>0</v>
      </c>
      <c r="AO26" s="174">
        <f t="shared" si="43"/>
        <v>0</v>
      </c>
      <c r="AP26" s="208">
        <f>+AO26/AO51</f>
        <v>0</v>
      </c>
      <c r="AQ26" s="90">
        <v>0</v>
      </c>
      <c r="AR26" s="85">
        <f t="shared" si="44"/>
        <v>98</v>
      </c>
      <c r="AS26" s="120" t="s">
        <v>99</v>
      </c>
      <c r="AT26" s="325"/>
      <c r="AU26" s="38">
        <f t="shared" si="45"/>
        <v>0</v>
      </c>
      <c r="AV26" s="85">
        <f t="shared" si="46"/>
        <v>98</v>
      </c>
      <c r="AW26" s="203">
        <f>+AV26/AT24</f>
        <v>0.0002448775612193903</v>
      </c>
      <c r="AX26" s="172">
        <v>0</v>
      </c>
      <c r="AY26" s="173">
        <v>0</v>
      </c>
      <c r="AZ26" s="174">
        <f t="shared" si="47"/>
        <v>0</v>
      </c>
      <c r="BA26" s="208">
        <f>+AZ26/AZ51</f>
        <v>0</v>
      </c>
      <c r="BB26" s="90">
        <v>0</v>
      </c>
      <c r="BC26" s="258">
        <f t="shared" si="51"/>
        <v>98</v>
      </c>
      <c r="BD26" s="120" t="s">
        <v>99</v>
      </c>
      <c r="BE26" s="277"/>
      <c r="BF26" s="38">
        <f t="shared" si="56"/>
        <v>0</v>
      </c>
      <c r="BG26" s="85">
        <f t="shared" si="54"/>
        <v>98</v>
      </c>
      <c r="BH26" s="203">
        <f>+BG26/BE24</f>
        <v>0.0002448775612193903</v>
      </c>
      <c r="BI26" s="172">
        <v>0</v>
      </c>
      <c r="BJ26" s="173">
        <v>0</v>
      </c>
      <c r="BK26" s="174">
        <f t="shared" si="48"/>
        <v>0</v>
      </c>
      <c r="BL26" s="208">
        <f>+BK26/BK51</f>
        <v>0</v>
      </c>
      <c r="BM26" s="90">
        <v>0</v>
      </c>
      <c r="BN26" s="258">
        <f t="shared" si="61"/>
        <v>98</v>
      </c>
      <c r="BO26" s="120" t="s">
        <v>99</v>
      </c>
      <c r="BP26" s="277"/>
      <c r="BQ26" s="38">
        <f t="shared" si="57"/>
        <v>0</v>
      </c>
      <c r="BR26" s="85">
        <f t="shared" si="9"/>
        <v>98</v>
      </c>
      <c r="BS26" s="203">
        <f>+BR26/BP24</f>
        <v>0.0002448775612193903</v>
      </c>
      <c r="BT26" s="172">
        <v>0</v>
      </c>
      <c r="BU26" s="173">
        <v>0</v>
      </c>
      <c r="BV26" s="174">
        <f t="shared" si="49"/>
        <v>0</v>
      </c>
      <c r="BW26" s="208">
        <f>+BV26/BV51</f>
        <v>0</v>
      </c>
      <c r="BX26" s="90">
        <v>0</v>
      </c>
      <c r="BY26" s="258">
        <f t="shared" si="11"/>
        <v>98</v>
      </c>
      <c r="BZ26" s="120" t="s">
        <v>99</v>
      </c>
      <c r="CA26" s="277"/>
      <c r="CB26" s="38">
        <f t="shared" si="58"/>
        <v>0</v>
      </c>
      <c r="CC26" s="85">
        <f t="shared" si="62"/>
        <v>98</v>
      </c>
      <c r="CD26" s="203">
        <f>+CC26/CA24</f>
        <v>0.0002448775612193903</v>
      </c>
      <c r="CE26" s="172">
        <v>0</v>
      </c>
      <c r="CF26" s="173">
        <v>0</v>
      </c>
      <c r="CG26" s="174">
        <f t="shared" si="59"/>
        <v>0</v>
      </c>
      <c r="CH26" s="208">
        <f>+CG26/CG51</f>
        <v>0</v>
      </c>
      <c r="CI26" s="90">
        <v>0</v>
      </c>
      <c r="CJ26" s="258">
        <f t="shared" si="60"/>
        <v>98</v>
      </c>
      <c r="CK26" s="120" t="s">
        <v>99</v>
      </c>
      <c r="CL26" s="277"/>
      <c r="CM26" s="38">
        <f t="shared" si="63"/>
        <v>0</v>
      </c>
      <c r="CN26" s="85">
        <f t="shared" si="18"/>
        <v>98</v>
      </c>
      <c r="CO26" s="203">
        <f>+CN26/CL24</f>
        <v>0.0002448775612193903</v>
      </c>
      <c r="CP26" s="172">
        <v>0</v>
      </c>
      <c r="CQ26" s="173">
        <v>0</v>
      </c>
      <c r="CR26" s="174">
        <f t="shared" si="20"/>
        <v>0</v>
      </c>
      <c r="CS26" s="208">
        <f>+CR26/CR51</f>
        <v>0</v>
      </c>
      <c r="CT26" s="90">
        <v>0</v>
      </c>
      <c r="CU26" s="258">
        <f t="shared" si="21"/>
        <v>98</v>
      </c>
      <c r="CV26" s="120" t="s">
        <v>99</v>
      </c>
      <c r="CW26" s="277"/>
      <c r="CX26" s="38">
        <f t="shared" si="22"/>
        <v>0</v>
      </c>
      <c r="CY26" s="85">
        <f t="shared" si="23"/>
        <v>98</v>
      </c>
      <c r="CZ26" s="203">
        <f>+CY26/CW24</f>
        <v>0.0002448775612193903</v>
      </c>
      <c r="DA26" s="172">
        <v>0</v>
      </c>
      <c r="DB26" s="173">
        <v>0</v>
      </c>
      <c r="DC26" s="174">
        <f t="shared" si="25"/>
        <v>0</v>
      </c>
      <c r="DD26" s="208">
        <f>+DC26/DC51</f>
        <v>0</v>
      </c>
      <c r="DE26" s="90">
        <v>0</v>
      </c>
      <c r="DF26" s="258">
        <f t="shared" si="26"/>
        <v>98</v>
      </c>
      <c r="DG26" s="120" t="s">
        <v>99</v>
      </c>
      <c r="DH26" s="277"/>
      <c r="DI26" s="283">
        <f t="shared" si="52"/>
        <v>0</v>
      </c>
      <c r="DJ26" s="85">
        <f t="shared" si="53"/>
        <v>98</v>
      </c>
      <c r="DK26" s="203">
        <f>+DJ26/DH24</f>
        <v>0.0002448775612193903</v>
      </c>
      <c r="DL26" s="172">
        <v>0</v>
      </c>
      <c r="DM26" s="173">
        <v>0</v>
      </c>
      <c r="DN26" s="174">
        <f t="shared" si="28"/>
        <v>0</v>
      </c>
      <c r="DO26" s="208">
        <f>+DN26/DN51</f>
        <v>0</v>
      </c>
      <c r="DP26" s="90">
        <v>0</v>
      </c>
      <c r="DQ26" s="258">
        <f t="shared" si="50"/>
        <v>98</v>
      </c>
    </row>
    <row r="27" spans="1:121" ht="23.25" customHeight="1">
      <c r="A27" s="120" t="s">
        <v>32</v>
      </c>
      <c r="B27" s="325"/>
      <c r="C27" s="38">
        <f t="shared" si="29"/>
        <v>63291.92</v>
      </c>
      <c r="D27" s="85">
        <f t="shared" si="30"/>
        <v>63291.92</v>
      </c>
      <c r="E27" s="203">
        <f>+D27/B24</f>
        <v>0.019759633304050478</v>
      </c>
      <c r="F27" s="172">
        <v>0</v>
      </c>
      <c r="G27" s="173">
        <v>0</v>
      </c>
      <c r="H27" s="174">
        <f t="shared" si="31"/>
        <v>0</v>
      </c>
      <c r="I27" s="208">
        <f>+H27/H51</f>
        <v>0</v>
      </c>
      <c r="J27" s="90">
        <v>63291.92</v>
      </c>
      <c r="K27" s="85">
        <f t="shared" si="32"/>
        <v>63291.92</v>
      </c>
      <c r="L27" s="120" t="s">
        <v>32</v>
      </c>
      <c r="M27" s="325"/>
      <c r="N27" s="38">
        <f t="shared" si="33"/>
        <v>81962.87</v>
      </c>
      <c r="O27" s="85">
        <f t="shared" si="34"/>
        <v>145254.78999999998</v>
      </c>
      <c r="P27" s="203">
        <f>+O27/M24</f>
        <v>0.045348306482989584</v>
      </c>
      <c r="Q27" s="172">
        <v>0</v>
      </c>
      <c r="R27" s="173">
        <v>0</v>
      </c>
      <c r="S27" s="174">
        <f t="shared" si="35"/>
        <v>0</v>
      </c>
      <c r="T27" s="208">
        <f>+S27/S51</f>
        <v>0</v>
      </c>
      <c r="U27" s="90">
        <v>81962.87</v>
      </c>
      <c r="V27" s="85">
        <f t="shared" si="36"/>
        <v>145254.78999999998</v>
      </c>
      <c r="W27" s="120" t="s">
        <v>32</v>
      </c>
      <c r="X27" s="325"/>
      <c r="Y27" s="38">
        <f t="shared" si="37"/>
        <v>33361.05</v>
      </c>
      <c r="Z27" s="85">
        <f t="shared" si="38"/>
        <v>178615.83999999997</v>
      </c>
      <c r="AA27" s="203">
        <f>+Z27/X24</f>
        <v>0.055763571411563295</v>
      </c>
      <c r="AB27" s="172">
        <v>0</v>
      </c>
      <c r="AC27" s="173">
        <v>0</v>
      </c>
      <c r="AD27" s="174">
        <f t="shared" si="39"/>
        <v>0</v>
      </c>
      <c r="AE27" s="208">
        <f>+AD27/AD51</f>
        <v>0</v>
      </c>
      <c r="AF27" s="90">
        <v>33361.05</v>
      </c>
      <c r="AG27" s="85">
        <f t="shared" si="40"/>
        <v>178615.83999999997</v>
      </c>
      <c r="AH27" s="120" t="s">
        <v>32</v>
      </c>
      <c r="AI27" s="325"/>
      <c r="AJ27" s="38">
        <f t="shared" si="41"/>
        <v>82538.42</v>
      </c>
      <c r="AK27" s="85">
        <f t="shared" si="42"/>
        <v>261154.25999999995</v>
      </c>
      <c r="AL27" s="203">
        <f>+AK27/AI24</f>
        <v>0.08153193035367955</v>
      </c>
      <c r="AM27" s="172">
        <v>0</v>
      </c>
      <c r="AN27" s="173">
        <v>0</v>
      </c>
      <c r="AO27" s="174">
        <f t="shared" si="43"/>
        <v>0</v>
      </c>
      <c r="AP27" s="208">
        <f>+AO27/AO51</f>
        <v>0</v>
      </c>
      <c r="AQ27" s="90">
        <v>82538.42</v>
      </c>
      <c r="AR27" s="85">
        <f t="shared" si="44"/>
        <v>261154.25999999995</v>
      </c>
      <c r="AS27" s="120" t="s">
        <v>32</v>
      </c>
      <c r="AT27" s="325"/>
      <c r="AU27" s="38">
        <f t="shared" si="45"/>
        <v>96154.97</v>
      </c>
      <c r="AV27" s="85">
        <f t="shared" si="46"/>
        <v>357309.23</v>
      </c>
      <c r="AW27" s="203">
        <f>+AV27/AT24</f>
        <v>0.8928266616691654</v>
      </c>
      <c r="AX27" s="172">
        <v>0</v>
      </c>
      <c r="AY27" s="173">
        <v>0</v>
      </c>
      <c r="AZ27" s="174">
        <f t="shared" si="47"/>
        <v>0</v>
      </c>
      <c r="BA27" s="208">
        <f>+AZ27/AZ51</f>
        <v>0</v>
      </c>
      <c r="BB27" s="90">
        <v>96154.97</v>
      </c>
      <c r="BC27" s="258">
        <f t="shared" si="51"/>
        <v>357309.23</v>
      </c>
      <c r="BD27" s="120" t="s">
        <v>32</v>
      </c>
      <c r="BE27" s="277"/>
      <c r="BF27" s="38">
        <f t="shared" si="56"/>
        <v>0</v>
      </c>
      <c r="BG27" s="85">
        <f t="shared" si="54"/>
        <v>357309.23</v>
      </c>
      <c r="BH27" s="203">
        <f>+BG27/BE24</f>
        <v>0.8928266616691654</v>
      </c>
      <c r="BI27" s="172">
        <v>0</v>
      </c>
      <c r="BJ27" s="173">
        <v>0</v>
      </c>
      <c r="BK27" s="174">
        <f t="shared" si="48"/>
        <v>0</v>
      </c>
      <c r="BL27" s="208">
        <f>+BK27/BK51</f>
        <v>0</v>
      </c>
      <c r="BM27" s="90">
        <v>0</v>
      </c>
      <c r="BN27" s="258">
        <f t="shared" si="61"/>
        <v>357309.23</v>
      </c>
      <c r="BO27" s="120" t="s">
        <v>32</v>
      </c>
      <c r="BP27" s="277"/>
      <c r="BQ27" s="38">
        <f t="shared" si="57"/>
        <v>0</v>
      </c>
      <c r="BR27" s="85">
        <f t="shared" si="9"/>
        <v>357309.23</v>
      </c>
      <c r="BS27" s="203">
        <f>+BR27/BP24</f>
        <v>0.8928266616691654</v>
      </c>
      <c r="BT27" s="172">
        <v>0</v>
      </c>
      <c r="BU27" s="173">
        <v>0</v>
      </c>
      <c r="BV27" s="174">
        <f t="shared" si="49"/>
        <v>0</v>
      </c>
      <c r="BW27" s="208">
        <f>+BV27/BV51</f>
        <v>0</v>
      </c>
      <c r="BX27" s="90">
        <v>0</v>
      </c>
      <c r="BY27" s="258">
        <f t="shared" si="11"/>
        <v>357309.23</v>
      </c>
      <c r="BZ27" s="120" t="s">
        <v>32</v>
      </c>
      <c r="CA27" s="277"/>
      <c r="CB27" s="38">
        <f t="shared" si="58"/>
        <v>0</v>
      </c>
      <c r="CC27" s="85">
        <f t="shared" si="62"/>
        <v>357309.23</v>
      </c>
      <c r="CD27" s="203">
        <f>+CC27/CA24</f>
        <v>0.8928266616691654</v>
      </c>
      <c r="CE27" s="172">
        <v>0</v>
      </c>
      <c r="CF27" s="173">
        <v>0</v>
      </c>
      <c r="CG27" s="174">
        <f t="shared" si="59"/>
        <v>0</v>
      </c>
      <c r="CH27" s="208">
        <f>+CG27/CG51</f>
        <v>0</v>
      </c>
      <c r="CI27" s="90">
        <v>0</v>
      </c>
      <c r="CJ27" s="258">
        <f t="shared" si="60"/>
        <v>357309.23</v>
      </c>
      <c r="CK27" s="120" t="s">
        <v>32</v>
      </c>
      <c r="CL27" s="277"/>
      <c r="CM27" s="38">
        <f t="shared" si="63"/>
        <v>96741.66</v>
      </c>
      <c r="CN27" s="85">
        <f t="shared" si="18"/>
        <v>454050.89</v>
      </c>
      <c r="CO27" s="203">
        <f>+CN27/CL24</f>
        <v>1.1345599450274864</v>
      </c>
      <c r="CP27" s="172">
        <v>0</v>
      </c>
      <c r="CQ27" s="173">
        <v>0</v>
      </c>
      <c r="CR27" s="174">
        <f t="shared" si="20"/>
        <v>0</v>
      </c>
      <c r="CS27" s="208">
        <f>+CR27/CR51</f>
        <v>0</v>
      </c>
      <c r="CT27" s="90">
        <v>96741.66</v>
      </c>
      <c r="CU27" s="258">
        <f t="shared" si="21"/>
        <v>454050.89</v>
      </c>
      <c r="CV27" s="120" t="s">
        <v>32</v>
      </c>
      <c r="CW27" s="277"/>
      <c r="CX27" s="38">
        <f t="shared" si="22"/>
        <v>124239.23</v>
      </c>
      <c r="CY27" s="85">
        <f t="shared" si="23"/>
        <v>578290.12</v>
      </c>
      <c r="CZ27" s="203">
        <f>+CY27/CW24</f>
        <v>1.4450027986006997</v>
      </c>
      <c r="DA27" s="172">
        <v>0</v>
      </c>
      <c r="DB27" s="173">
        <v>0</v>
      </c>
      <c r="DC27" s="174">
        <f t="shared" si="25"/>
        <v>0</v>
      </c>
      <c r="DD27" s="208">
        <f>+DC27/DC51</f>
        <v>0</v>
      </c>
      <c r="DE27" s="90">
        <v>124239.23</v>
      </c>
      <c r="DF27" s="258">
        <f t="shared" si="26"/>
        <v>578290.12</v>
      </c>
      <c r="DG27" s="120" t="s">
        <v>32</v>
      </c>
      <c r="DH27" s="277"/>
      <c r="DI27" s="283">
        <v>70590.2</v>
      </c>
      <c r="DJ27" s="85">
        <f t="shared" si="53"/>
        <v>648880.32</v>
      </c>
      <c r="DK27" s="203">
        <f>+DJ27/DH24</f>
        <v>1.6213901049475261</v>
      </c>
      <c r="DL27" s="172">
        <v>0</v>
      </c>
      <c r="DM27" s="173">
        <v>0</v>
      </c>
      <c r="DN27" s="174">
        <f t="shared" si="28"/>
        <v>0</v>
      </c>
      <c r="DO27" s="208">
        <f>+DN27/DN51</f>
        <v>0</v>
      </c>
      <c r="DP27" s="90">
        <f>DI27</f>
        <v>70590.2</v>
      </c>
      <c r="DQ27" s="258">
        <f t="shared" si="50"/>
        <v>648880.32</v>
      </c>
    </row>
    <row r="28" spans="1:121" ht="23.25" customHeight="1">
      <c r="A28" s="120" t="s">
        <v>56</v>
      </c>
      <c r="B28" s="325"/>
      <c r="C28" s="38">
        <f t="shared" si="29"/>
        <v>0</v>
      </c>
      <c r="D28" s="85">
        <f t="shared" si="30"/>
        <v>0</v>
      </c>
      <c r="E28" s="203">
        <f>+D28/B24</f>
        <v>0</v>
      </c>
      <c r="F28" s="172">
        <v>0</v>
      </c>
      <c r="G28" s="173">
        <v>0</v>
      </c>
      <c r="H28" s="174">
        <f t="shared" si="31"/>
        <v>0</v>
      </c>
      <c r="I28" s="208">
        <f>+H28/H51</f>
        <v>0</v>
      </c>
      <c r="J28" s="90">
        <v>0</v>
      </c>
      <c r="K28" s="85">
        <f t="shared" si="32"/>
        <v>0</v>
      </c>
      <c r="L28" s="120" t="s">
        <v>56</v>
      </c>
      <c r="M28" s="325"/>
      <c r="N28" s="38">
        <f t="shared" si="33"/>
        <v>320</v>
      </c>
      <c r="O28" s="85">
        <f t="shared" si="34"/>
        <v>320</v>
      </c>
      <c r="P28" s="203">
        <f>+O28/M24</f>
        <v>9.990347357602919E-05</v>
      </c>
      <c r="Q28" s="172">
        <v>0</v>
      </c>
      <c r="R28" s="173">
        <v>0</v>
      </c>
      <c r="S28" s="174">
        <f t="shared" si="35"/>
        <v>0</v>
      </c>
      <c r="T28" s="208">
        <f>+S28/S51</f>
        <v>0</v>
      </c>
      <c r="U28" s="90">
        <v>320</v>
      </c>
      <c r="V28" s="85">
        <f t="shared" si="36"/>
        <v>320</v>
      </c>
      <c r="W28" s="120" t="s">
        <v>56</v>
      </c>
      <c r="X28" s="325"/>
      <c r="Y28" s="38">
        <f t="shared" si="37"/>
        <v>224</v>
      </c>
      <c r="Z28" s="85">
        <f t="shared" si="38"/>
        <v>544</v>
      </c>
      <c r="AA28" s="203">
        <f>+Z28/X24</f>
        <v>0.00016983590507924963</v>
      </c>
      <c r="AB28" s="172">
        <v>0</v>
      </c>
      <c r="AC28" s="173">
        <v>0</v>
      </c>
      <c r="AD28" s="174">
        <f t="shared" si="39"/>
        <v>0</v>
      </c>
      <c r="AE28" s="208">
        <f>+AD28/AD51</f>
        <v>0</v>
      </c>
      <c r="AF28" s="90">
        <v>224</v>
      </c>
      <c r="AG28" s="85">
        <f t="shared" si="40"/>
        <v>544</v>
      </c>
      <c r="AH28" s="120" t="s">
        <v>56</v>
      </c>
      <c r="AI28" s="325"/>
      <c r="AJ28" s="38">
        <f t="shared" si="41"/>
        <v>128</v>
      </c>
      <c r="AK28" s="85">
        <f t="shared" si="42"/>
        <v>672</v>
      </c>
      <c r="AL28" s="203">
        <f>+AK28/AI24</f>
        <v>0.0002097972945096613</v>
      </c>
      <c r="AM28" s="172">
        <v>0</v>
      </c>
      <c r="AN28" s="173">
        <v>0</v>
      </c>
      <c r="AO28" s="174">
        <f t="shared" si="43"/>
        <v>0</v>
      </c>
      <c r="AP28" s="208">
        <f>+AO28/AO51</f>
        <v>0</v>
      </c>
      <c r="AQ28" s="90">
        <v>128</v>
      </c>
      <c r="AR28" s="85">
        <f t="shared" si="44"/>
        <v>672</v>
      </c>
      <c r="AS28" s="120" t="s">
        <v>56</v>
      </c>
      <c r="AT28" s="325"/>
      <c r="AU28" s="38">
        <f t="shared" si="45"/>
        <v>144</v>
      </c>
      <c r="AV28" s="85">
        <f t="shared" si="46"/>
        <v>816</v>
      </c>
      <c r="AW28" s="203">
        <f>+AV28/AT24</f>
        <v>0.0020389805097451273</v>
      </c>
      <c r="AX28" s="172">
        <v>0</v>
      </c>
      <c r="AY28" s="173">
        <v>0</v>
      </c>
      <c r="AZ28" s="174">
        <f t="shared" si="47"/>
        <v>0</v>
      </c>
      <c r="BA28" s="208">
        <f>+AZ28/AZ51</f>
        <v>0</v>
      </c>
      <c r="BB28" s="90">
        <v>144</v>
      </c>
      <c r="BC28" s="258">
        <f t="shared" si="51"/>
        <v>816</v>
      </c>
      <c r="BD28" s="120" t="s">
        <v>56</v>
      </c>
      <c r="BE28" s="277"/>
      <c r="BF28" s="38">
        <f t="shared" si="56"/>
        <v>144</v>
      </c>
      <c r="BG28" s="85">
        <f t="shared" si="54"/>
        <v>960</v>
      </c>
      <c r="BH28" s="203">
        <f>+BG28/BE24</f>
        <v>0.0023988005997001498</v>
      </c>
      <c r="BI28" s="172">
        <v>0</v>
      </c>
      <c r="BJ28" s="173">
        <v>0</v>
      </c>
      <c r="BK28" s="174">
        <f t="shared" si="48"/>
        <v>0</v>
      </c>
      <c r="BL28" s="208">
        <f>+BK28/BK51</f>
        <v>0</v>
      </c>
      <c r="BM28" s="90">
        <v>144</v>
      </c>
      <c r="BN28" s="258">
        <f t="shared" si="61"/>
        <v>960</v>
      </c>
      <c r="BO28" s="120" t="s">
        <v>56</v>
      </c>
      <c r="BP28" s="277"/>
      <c r="BQ28" s="38">
        <f t="shared" si="57"/>
        <v>0</v>
      </c>
      <c r="BR28" s="85">
        <f t="shared" si="9"/>
        <v>960</v>
      </c>
      <c r="BS28" s="203">
        <f>+BR28/BP24</f>
        <v>0.0023988005997001498</v>
      </c>
      <c r="BT28" s="172">
        <v>0</v>
      </c>
      <c r="BU28" s="173">
        <v>0</v>
      </c>
      <c r="BV28" s="174">
        <f t="shared" si="49"/>
        <v>0</v>
      </c>
      <c r="BW28" s="208">
        <f>+BV28/BV51</f>
        <v>0</v>
      </c>
      <c r="BX28" s="90">
        <v>0</v>
      </c>
      <c r="BY28" s="258">
        <f t="shared" si="11"/>
        <v>960</v>
      </c>
      <c r="BZ28" s="120" t="s">
        <v>56</v>
      </c>
      <c r="CA28" s="277"/>
      <c r="CB28" s="38">
        <f t="shared" si="58"/>
        <v>144</v>
      </c>
      <c r="CC28" s="85">
        <f t="shared" si="62"/>
        <v>1104</v>
      </c>
      <c r="CD28" s="203">
        <f>+CC28/CA24</f>
        <v>0.002758620689655172</v>
      </c>
      <c r="CE28" s="172">
        <v>0</v>
      </c>
      <c r="CF28" s="173">
        <v>0</v>
      </c>
      <c r="CG28" s="174">
        <f t="shared" si="59"/>
        <v>0</v>
      </c>
      <c r="CH28" s="208">
        <f>+CG28/CG51</f>
        <v>0</v>
      </c>
      <c r="CI28" s="90">
        <v>144</v>
      </c>
      <c r="CJ28" s="258">
        <f t="shared" si="60"/>
        <v>1104</v>
      </c>
      <c r="CK28" s="120" t="s">
        <v>56</v>
      </c>
      <c r="CL28" s="277"/>
      <c r="CM28" s="38">
        <f t="shared" si="63"/>
        <v>96</v>
      </c>
      <c r="CN28" s="85">
        <f t="shared" si="18"/>
        <v>1200</v>
      </c>
      <c r="CO28" s="203">
        <f>+CN28/CL24</f>
        <v>0.0029985007496251873</v>
      </c>
      <c r="CP28" s="172">
        <v>0</v>
      </c>
      <c r="CQ28" s="173">
        <v>0</v>
      </c>
      <c r="CR28" s="174">
        <f t="shared" si="20"/>
        <v>0</v>
      </c>
      <c r="CS28" s="208">
        <f>+CR28/CR51</f>
        <v>0</v>
      </c>
      <c r="CT28" s="90">
        <v>96</v>
      </c>
      <c r="CU28" s="258">
        <f t="shared" si="21"/>
        <v>1200</v>
      </c>
      <c r="CV28" s="120" t="s">
        <v>56</v>
      </c>
      <c r="CW28" s="277"/>
      <c r="CX28" s="38">
        <f t="shared" si="22"/>
        <v>0</v>
      </c>
      <c r="CY28" s="85">
        <f t="shared" si="23"/>
        <v>1200</v>
      </c>
      <c r="CZ28" s="203">
        <f>+CY28/CW24</f>
        <v>0.0029985007496251873</v>
      </c>
      <c r="DA28" s="172">
        <v>0</v>
      </c>
      <c r="DB28" s="173">
        <v>0</v>
      </c>
      <c r="DC28" s="174">
        <f t="shared" si="25"/>
        <v>0</v>
      </c>
      <c r="DD28" s="208">
        <f>+DC28/DC51</f>
        <v>0</v>
      </c>
      <c r="DE28" s="90">
        <v>0</v>
      </c>
      <c r="DF28" s="258">
        <f t="shared" si="26"/>
        <v>1200</v>
      </c>
      <c r="DG28" s="120" t="s">
        <v>56</v>
      </c>
      <c r="DH28" s="277"/>
      <c r="DI28" s="283">
        <v>72</v>
      </c>
      <c r="DJ28" s="85">
        <f t="shared" si="53"/>
        <v>1272</v>
      </c>
      <c r="DK28" s="203">
        <f>+DJ28/DH24</f>
        <v>0.0031784107946026987</v>
      </c>
      <c r="DL28" s="172">
        <v>0</v>
      </c>
      <c r="DM28" s="173">
        <v>0</v>
      </c>
      <c r="DN28" s="174">
        <f t="shared" si="28"/>
        <v>0</v>
      </c>
      <c r="DO28" s="208">
        <f>+DN28/DN51</f>
        <v>0</v>
      </c>
      <c r="DP28" s="90">
        <f>DI28</f>
        <v>72</v>
      </c>
      <c r="DQ28" s="258">
        <f t="shared" si="50"/>
        <v>1272</v>
      </c>
    </row>
    <row r="29" spans="1:121" ht="23.25" customHeight="1">
      <c r="A29" s="120" t="s">
        <v>47</v>
      </c>
      <c r="B29" s="325"/>
      <c r="C29" s="38">
        <f t="shared" si="29"/>
        <v>0</v>
      </c>
      <c r="D29" s="85">
        <f t="shared" si="30"/>
        <v>0</v>
      </c>
      <c r="E29" s="203">
        <f>+D29/B24</f>
        <v>0</v>
      </c>
      <c r="F29" s="172">
        <v>0</v>
      </c>
      <c r="G29" s="173">
        <v>0</v>
      </c>
      <c r="H29" s="174">
        <f t="shared" si="31"/>
        <v>0</v>
      </c>
      <c r="I29" s="208">
        <f>+H29/H51</f>
        <v>0</v>
      </c>
      <c r="J29" s="90">
        <v>0</v>
      </c>
      <c r="K29" s="85">
        <f t="shared" si="32"/>
        <v>0</v>
      </c>
      <c r="L29" s="120" t="s">
        <v>47</v>
      </c>
      <c r="M29" s="325"/>
      <c r="N29" s="38">
        <f t="shared" si="33"/>
        <v>210</v>
      </c>
      <c r="O29" s="85">
        <f t="shared" si="34"/>
        <v>210</v>
      </c>
      <c r="P29" s="203">
        <f>+O29/M24</f>
        <v>6.556165453426916E-05</v>
      </c>
      <c r="Q29" s="172">
        <v>0</v>
      </c>
      <c r="R29" s="173">
        <v>0</v>
      </c>
      <c r="S29" s="174">
        <f t="shared" si="35"/>
        <v>0</v>
      </c>
      <c r="T29" s="208">
        <f>+S29/S51</f>
        <v>0</v>
      </c>
      <c r="U29" s="90">
        <v>210</v>
      </c>
      <c r="V29" s="85">
        <f t="shared" si="36"/>
        <v>210</v>
      </c>
      <c r="W29" s="120" t="s">
        <v>47</v>
      </c>
      <c r="X29" s="325"/>
      <c r="Y29" s="38">
        <f t="shared" si="37"/>
        <v>0</v>
      </c>
      <c r="Z29" s="85">
        <f t="shared" si="38"/>
        <v>210</v>
      </c>
      <c r="AA29" s="203">
        <f>+Z29/X24</f>
        <v>6.556165453426916E-05</v>
      </c>
      <c r="AB29" s="172">
        <v>0</v>
      </c>
      <c r="AC29" s="173">
        <v>0</v>
      </c>
      <c r="AD29" s="174">
        <f t="shared" si="39"/>
        <v>0</v>
      </c>
      <c r="AE29" s="208">
        <f>+AD29/AD51</f>
        <v>0</v>
      </c>
      <c r="AF29" s="90">
        <v>0</v>
      </c>
      <c r="AG29" s="85">
        <f t="shared" si="40"/>
        <v>210</v>
      </c>
      <c r="AH29" s="120" t="s">
        <v>47</v>
      </c>
      <c r="AI29" s="325"/>
      <c r="AJ29" s="38">
        <f t="shared" si="41"/>
        <v>0</v>
      </c>
      <c r="AK29" s="85">
        <f t="shared" si="42"/>
        <v>210</v>
      </c>
      <c r="AL29" s="203">
        <f>+AK29/AI24</f>
        <v>6.556165453426916E-05</v>
      </c>
      <c r="AM29" s="172">
        <v>0</v>
      </c>
      <c r="AN29" s="173">
        <v>0</v>
      </c>
      <c r="AO29" s="174">
        <f t="shared" si="43"/>
        <v>0</v>
      </c>
      <c r="AP29" s="208">
        <f>+AO29/AO51</f>
        <v>0</v>
      </c>
      <c r="AQ29" s="90">
        <v>0</v>
      </c>
      <c r="AR29" s="85">
        <f t="shared" si="44"/>
        <v>210</v>
      </c>
      <c r="AS29" s="120" t="s">
        <v>47</v>
      </c>
      <c r="AT29" s="325"/>
      <c r="AU29" s="38">
        <f t="shared" si="45"/>
        <v>0</v>
      </c>
      <c r="AV29" s="85">
        <f t="shared" si="46"/>
        <v>210</v>
      </c>
      <c r="AW29" s="203">
        <f>+AV29/AT24</f>
        <v>0.0005247376311844077</v>
      </c>
      <c r="AX29" s="172">
        <v>0</v>
      </c>
      <c r="AY29" s="173">
        <v>0</v>
      </c>
      <c r="AZ29" s="174">
        <f t="shared" si="47"/>
        <v>0</v>
      </c>
      <c r="BA29" s="208">
        <f>+AZ29/AZ51</f>
        <v>0</v>
      </c>
      <c r="BB29" s="90">
        <v>0</v>
      </c>
      <c r="BC29" s="258">
        <f t="shared" si="51"/>
        <v>210</v>
      </c>
      <c r="BD29" s="120" t="s">
        <v>47</v>
      </c>
      <c r="BE29" s="277"/>
      <c r="BF29" s="38">
        <f t="shared" si="56"/>
        <v>120</v>
      </c>
      <c r="BG29" s="85">
        <f t="shared" si="54"/>
        <v>330</v>
      </c>
      <c r="BH29" s="203">
        <f>+BG29/BE24</f>
        <v>0.0008245877061469265</v>
      </c>
      <c r="BI29" s="172">
        <v>0</v>
      </c>
      <c r="BJ29" s="173">
        <v>0</v>
      </c>
      <c r="BK29" s="174">
        <f t="shared" si="48"/>
        <v>0</v>
      </c>
      <c r="BL29" s="208">
        <f>+BK29/BK51</f>
        <v>0</v>
      </c>
      <c r="BM29" s="90">
        <v>120</v>
      </c>
      <c r="BN29" s="258">
        <f t="shared" si="61"/>
        <v>330</v>
      </c>
      <c r="BO29" s="120" t="s">
        <v>47</v>
      </c>
      <c r="BP29" s="277"/>
      <c r="BQ29" s="38">
        <f t="shared" si="57"/>
        <v>0</v>
      </c>
      <c r="BR29" s="85">
        <f t="shared" si="9"/>
        <v>330</v>
      </c>
      <c r="BS29" s="203">
        <f>+BR29/BP24</f>
        <v>0.0008245877061469265</v>
      </c>
      <c r="BT29" s="172">
        <v>0</v>
      </c>
      <c r="BU29" s="173">
        <v>0</v>
      </c>
      <c r="BV29" s="174">
        <f t="shared" si="49"/>
        <v>0</v>
      </c>
      <c r="BW29" s="208">
        <f>+BV29/BV51</f>
        <v>0</v>
      </c>
      <c r="BX29" s="90">
        <v>0</v>
      </c>
      <c r="BY29" s="258">
        <f t="shared" si="11"/>
        <v>330</v>
      </c>
      <c r="BZ29" s="120" t="s">
        <v>47</v>
      </c>
      <c r="CA29" s="277"/>
      <c r="CB29" s="38">
        <f t="shared" si="58"/>
        <v>0</v>
      </c>
      <c r="CC29" s="85">
        <f t="shared" si="62"/>
        <v>330</v>
      </c>
      <c r="CD29" s="203">
        <f>+CC29/CA24</f>
        <v>0.0008245877061469265</v>
      </c>
      <c r="CE29" s="172">
        <v>0</v>
      </c>
      <c r="CF29" s="173">
        <v>0</v>
      </c>
      <c r="CG29" s="174">
        <f t="shared" si="59"/>
        <v>0</v>
      </c>
      <c r="CH29" s="208">
        <f>+CG29/CG51</f>
        <v>0</v>
      </c>
      <c r="CI29" s="90">
        <v>0</v>
      </c>
      <c r="CJ29" s="258">
        <f t="shared" si="60"/>
        <v>330</v>
      </c>
      <c r="CK29" s="120" t="s">
        <v>47</v>
      </c>
      <c r="CL29" s="277"/>
      <c r="CM29" s="38">
        <f t="shared" si="63"/>
        <v>0</v>
      </c>
      <c r="CN29" s="85">
        <f t="shared" si="18"/>
        <v>330</v>
      </c>
      <c r="CO29" s="203">
        <f>+CN29/CL24</f>
        <v>0.0008245877061469265</v>
      </c>
      <c r="CP29" s="172">
        <v>0</v>
      </c>
      <c r="CQ29" s="173">
        <v>0</v>
      </c>
      <c r="CR29" s="174">
        <f t="shared" si="20"/>
        <v>0</v>
      </c>
      <c r="CS29" s="208">
        <f>+CR29/CR51</f>
        <v>0</v>
      </c>
      <c r="CT29" s="90">
        <v>0</v>
      </c>
      <c r="CU29" s="258">
        <f t="shared" si="21"/>
        <v>330</v>
      </c>
      <c r="CV29" s="120" t="s">
        <v>47</v>
      </c>
      <c r="CW29" s="277"/>
      <c r="CX29" s="38">
        <f t="shared" si="22"/>
        <v>0</v>
      </c>
      <c r="CY29" s="85">
        <f t="shared" si="23"/>
        <v>330</v>
      </c>
      <c r="CZ29" s="203">
        <f>+CY29/CW24</f>
        <v>0.0008245877061469265</v>
      </c>
      <c r="DA29" s="172">
        <v>0</v>
      </c>
      <c r="DB29" s="173">
        <v>0</v>
      </c>
      <c r="DC29" s="174">
        <f t="shared" si="25"/>
        <v>0</v>
      </c>
      <c r="DD29" s="208">
        <f>+DC29/DC51</f>
        <v>0</v>
      </c>
      <c r="DE29" s="90">
        <v>0</v>
      </c>
      <c r="DF29" s="258">
        <f t="shared" si="26"/>
        <v>330</v>
      </c>
      <c r="DG29" s="120" t="s">
        <v>47</v>
      </c>
      <c r="DH29" s="277"/>
      <c r="DI29" s="283">
        <f t="shared" si="52"/>
        <v>0</v>
      </c>
      <c r="DJ29" s="85">
        <f t="shared" si="53"/>
        <v>330</v>
      </c>
      <c r="DK29" s="203">
        <f>+DJ29/DH24</f>
        <v>0.0008245877061469265</v>
      </c>
      <c r="DL29" s="172">
        <v>0</v>
      </c>
      <c r="DM29" s="173">
        <v>0</v>
      </c>
      <c r="DN29" s="174">
        <f t="shared" si="28"/>
        <v>0</v>
      </c>
      <c r="DO29" s="208">
        <f>+DN29/DN51</f>
        <v>0</v>
      </c>
      <c r="DP29" s="90">
        <v>0</v>
      </c>
      <c r="DQ29" s="258">
        <f t="shared" si="50"/>
        <v>330</v>
      </c>
    </row>
    <row r="30" spans="1:121" ht="23.25" customHeight="1">
      <c r="A30" s="120" t="s">
        <v>79</v>
      </c>
      <c r="B30" s="325"/>
      <c r="C30" s="38">
        <f t="shared" si="29"/>
        <v>0</v>
      </c>
      <c r="D30" s="85">
        <f t="shared" si="30"/>
        <v>0</v>
      </c>
      <c r="E30" s="203">
        <v>0</v>
      </c>
      <c r="F30" s="172">
        <v>0</v>
      </c>
      <c r="G30" s="173">
        <v>0</v>
      </c>
      <c r="H30" s="174">
        <f t="shared" si="31"/>
        <v>0</v>
      </c>
      <c r="I30" s="208">
        <f>+H30/H51</f>
        <v>0</v>
      </c>
      <c r="J30" s="90">
        <v>0</v>
      </c>
      <c r="K30" s="85">
        <f t="shared" si="32"/>
        <v>0</v>
      </c>
      <c r="L30" s="120" t="s">
        <v>79</v>
      </c>
      <c r="M30" s="325"/>
      <c r="N30" s="38">
        <f t="shared" si="33"/>
        <v>0</v>
      </c>
      <c r="O30" s="85">
        <f t="shared" si="34"/>
        <v>0</v>
      </c>
      <c r="P30" s="203">
        <v>0</v>
      </c>
      <c r="Q30" s="172">
        <v>0</v>
      </c>
      <c r="R30" s="173">
        <v>0</v>
      </c>
      <c r="S30" s="174">
        <f t="shared" si="35"/>
        <v>0</v>
      </c>
      <c r="T30" s="208">
        <f>+S30/S51</f>
        <v>0</v>
      </c>
      <c r="U30" s="90">
        <v>0</v>
      </c>
      <c r="V30" s="85">
        <f t="shared" si="36"/>
        <v>0</v>
      </c>
      <c r="W30" s="120" t="s">
        <v>79</v>
      </c>
      <c r="X30" s="325"/>
      <c r="Y30" s="38">
        <f t="shared" si="37"/>
        <v>0</v>
      </c>
      <c r="Z30" s="85">
        <f t="shared" si="38"/>
        <v>0</v>
      </c>
      <c r="AA30" s="203">
        <v>0</v>
      </c>
      <c r="AB30" s="172">
        <v>0</v>
      </c>
      <c r="AC30" s="173">
        <v>0</v>
      </c>
      <c r="AD30" s="174">
        <f t="shared" si="39"/>
        <v>0</v>
      </c>
      <c r="AE30" s="208">
        <f>+AD30/AD51</f>
        <v>0</v>
      </c>
      <c r="AF30" s="90">
        <v>0</v>
      </c>
      <c r="AG30" s="85">
        <f t="shared" si="40"/>
        <v>0</v>
      </c>
      <c r="AH30" s="120" t="s">
        <v>79</v>
      </c>
      <c r="AI30" s="325"/>
      <c r="AJ30" s="38">
        <f t="shared" si="41"/>
        <v>0</v>
      </c>
      <c r="AK30" s="85">
        <f t="shared" si="42"/>
        <v>0</v>
      </c>
      <c r="AL30" s="203">
        <v>0</v>
      </c>
      <c r="AM30" s="172">
        <v>0</v>
      </c>
      <c r="AN30" s="173">
        <v>0</v>
      </c>
      <c r="AO30" s="174">
        <f t="shared" si="43"/>
        <v>0</v>
      </c>
      <c r="AP30" s="208">
        <f>+AO30/AO51</f>
        <v>0</v>
      </c>
      <c r="AQ30" s="90">
        <v>0</v>
      </c>
      <c r="AR30" s="85">
        <f t="shared" si="44"/>
        <v>0</v>
      </c>
      <c r="AS30" s="120" t="s">
        <v>79</v>
      </c>
      <c r="AT30" s="325"/>
      <c r="AU30" s="38">
        <f t="shared" si="45"/>
        <v>0</v>
      </c>
      <c r="AV30" s="85">
        <f t="shared" si="46"/>
        <v>0</v>
      </c>
      <c r="AW30" s="203">
        <v>0</v>
      </c>
      <c r="AX30" s="172">
        <v>0</v>
      </c>
      <c r="AY30" s="173">
        <v>0</v>
      </c>
      <c r="AZ30" s="174">
        <f t="shared" si="47"/>
        <v>0</v>
      </c>
      <c r="BA30" s="208">
        <f>+AZ30/AZ51</f>
        <v>0</v>
      </c>
      <c r="BB30" s="90">
        <v>0</v>
      </c>
      <c r="BC30" s="258">
        <f t="shared" si="51"/>
        <v>0</v>
      </c>
      <c r="BD30" s="120" t="s">
        <v>79</v>
      </c>
      <c r="BE30" s="277"/>
      <c r="BF30" s="38">
        <f t="shared" si="56"/>
        <v>0</v>
      </c>
      <c r="BG30" s="85">
        <f t="shared" si="54"/>
        <v>0</v>
      </c>
      <c r="BH30" s="203">
        <v>0</v>
      </c>
      <c r="BI30" s="172">
        <v>0</v>
      </c>
      <c r="BJ30" s="173">
        <v>0</v>
      </c>
      <c r="BK30" s="174">
        <f t="shared" si="48"/>
        <v>0</v>
      </c>
      <c r="BL30" s="208">
        <f>+BK30/BK51</f>
        <v>0</v>
      </c>
      <c r="BM30" s="90">
        <v>0</v>
      </c>
      <c r="BN30" s="258">
        <f t="shared" si="61"/>
        <v>0</v>
      </c>
      <c r="BO30" s="120" t="s">
        <v>79</v>
      </c>
      <c r="BP30" s="277"/>
      <c r="BQ30" s="38">
        <f t="shared" si="57"/>
        <v>0</v>
      </c>
      <c r="BR30" s="85">
        <f t="shared" si="9"/>
        <v>0</v>
      </c>
      <c r="BS30" s="203">
        <v>0</v>
      </c>
      <c r="BT30" s="172">
        <v>0</v>
      </c>
      <c r="BU30" s="173">
        <v>0</v>
      </c>
      <c r="BV30" s="174">
        <f t="shared" si="49"/>
        <v>0</v>
      </c>
      <c r="BW30" s="208">
        <f>+BV30/BV51</f>
        <v>0</v>
      </c>
      <c r="BX30" s="90">
        <v>0</v>
      </c>
      <c r="BY30" s="258">
        <f t="shared" si="11"/>
        <v>0</v>
      </c>
      <c r="BZ30" s="120" t="s">
        <v>79</v>
      </c>
      <c r="CA30" s="277"/>
      <c r="CB30" s="38">
        <f t="shared" si="58"/>
        <v>0</v>
      </c>
      <c r="CC30" s="85">
        <f t="shared" si="62"/>
        <v>0</v>
      </c>
      <c r="CD30" s="203">
        <v>0</v>
      </c>
      <c r="CE30" s="172">
        <v>0</v>
      </c>
      <c r="CF30" s="173">
        <v>0</v>
      </c>
      <c r="CG30" s="174">
        <f t="shared" si="59"/>
        <v>0</v>
      </c>
      <c r="CH30" s="208">
        <f>+CG30/CG51</f>
        <v>0</v>
      </c>
      <c r="CI30" s="90">
        <v>0</v>
      </c>
      <c r="CJ30" s="258">
        <f t="shared" si="60"/>
        <v>0</v>
      </c>
      <c r="CK30" s="120" t="s">
        <v>79</v>
      </c>
      <c r="CL30" s="277"/>
      <c r="CM30" s="38">
        <f t="shared" si="63"/>
        <v>0</v>
      </c>
      <c r="CN30" s="85">
        <f t="shared" si="18"/>
        <v>0</v>
      </c>
      <c r="CO30" s="203">
        <v>0</v>
      </c>
      <c r="CP30" s="172">
        <v>0</v>
      </c>
      <c r="CQ30" s="173">
        <v>0</v>
      </c>
      <c r="CR30" s="174">
        <f t="shared" si="20"/>
        <v>0</v>
      </c>
      <c r="CS30" s="208">
        <f>+CR30/CR51</f>
        <v>0</v>
      </c>
      <c r="CT30" s="90">
        <v>0</v>
      </c>
      <c r="CU30" s="258">
        <f t="shared" si="21"/>
        <v>0</v>
      </c>
      <c r="CV30" s="120" t="s">
        <v>79</v>
      </c>
      <c r="CW30" s="277"/>
      <c r="CX30" s="38">
        <f t="shared" si="22"/>
        <v>0</v>
      </c>
      <c r="CY30" s="85">
        <f t="shared" si="23"/>
        <v>0</v>
      </c>
      <c r="CZ30" s="203">
        <v>0</v>
      </c>
      <c r="DA30" s="172">
        <v>0</v>
      </c>
      <c r="DB30" s="173">
        <v>0</v>
      </c>
      <c r="DC30" s="174">
        <f t="shared" si="25"/>
        <v>0</v>
      </c>
      <c r="DD30" s="208">
        <f>+DC30/DC51</f>
        <v>0</v>
      </c>
      <c r="DE30" s="90">
        <v>0</v>
      </c>
      <c r="DF30" s="258">
        <f t="shared" si="26"/>
        <v>0</v>
      </c>
      <c r="DG30" s="120" t="s">
        <v>79</v>
      </c>
      <c r="DH30" s="277"/>
      <c r="DI30" s="283">
        <f t="shared" si="52"/>
        <v>0</v>
      </c>
      <c r="DJ30" s="85">
        <f t="shared" si="53"/>
        <v>0</v>
      </c>
      <c r="DK30" s="203">
        <v>0</v>
      </c>
      <c r="DL30" s="172">
        <v>0</v>
      </c>
      <c r="DM30" s="173">
        <v>0</v>
      </c>
      <c r="DN30" s="174">
        <f t="shared" si="28"/>
        <v>0</v>
      </c>
      <c r="DO30" s="208">
        <f>+DN30/DN51</f>
        <v>0</v>
      </c>
      <c r="DP30" s="90">
        <v>0</v>
      </c>
      <c r="DQ30" s="258">
        <f t="shared" si="50"/>
        <v>0</v>
      </c>
    </row>
    <row r="31" spans="1:121" ht="23.25" customHeight="1">
      <c r="A31" s="120" t="s">
        <v>68</v>
      </c>
      <c r="B31" s="325"/>
      <c r="C31" s="38">
        <f t="shared" si="29"/>
        <v>0</v>
      </c>
      <c r="D31" s="85">
        <f t="shared" si="30"/>
        <v>0</v>
      </c>
      <c r="E31" s="203">
        <v>0</v>
      </c>
      <c r="F31" s="172">
        <v>0</v>
      </c>
      <c r="G31" s="173">
        <v>0</v>
      </c>
      <c r="H31" s="174">
        <f t="shared" si="31"/>
        <v>0</v>
      </c>
      <c r="I31" s="208">
        <f>+H31/H51</f>
        <v>0</v>
      </c>
      <c r="J31" s="90">
        <v>0</v>
      </c>
      <c r="K31" s="85">
        <f t="shared" si="32"/>
        <v>0</v>
      </c>
      <c r="L31" s="120" t="s">
        <v>68</v>
      </c>
      <c r="M31" s="325"/>
      <c r="N31" s="38">
        <f t="shared" si="33"/>
        <v>0</v>
      </c>
      <c r="O31" s="85">
        <f t="shared" si="34"/>
        <v>0</v>
      </c>
      <c r="P31" s="203">
        <v>0</v>
      </c>
      <c r="Q31" s="172">
        <v>0</v>
      </c>
      <c r="R31" s="173">
        <v>0</v>
      </c>
      <c r="S31" s="174">
        <f t="shared" si="35"/>
        <v>0</v>
      </c>
      <c r="T31" s="208">
        <f>+S31/S51</f>
        <v>0</v>
      </c>
      <c r="U31" s="90">
        <v>0</v>
      </c>
      <c r="V31" s="85">
        <f t="shared" si="36"/>
        <v>0</v>
      </c>
      <c r="W31" s="120" t="s">
        <v>68</v>
      </c>
      <c r="X31" s="325"/>
      <c r="Y31" s="38">
        <f t="shared" si="37"/>
        <v>0</v>
      </c>
      <c r="Z31" s="85">
        <f t="shared" si="38"/>
        <v>0</v>
      </c>
      <c r="AA31" s="203">
        <v>0</v>
      </c>
      <c r="AB31" s="172">
        <v>0</v>
      </c>
      <c r="AC31" s="173">
        <v>0</v>
      </c>
      <c r="AD31" s="174">
        <f t="shared" si="39"/>
        <v>0</v>
      </c>
      <c r="AE31" s="208">
        <f>+AD31/AD51</f>
        <v>0</v>
      </c>
      <c r="AF31" s="90">
        <v>0</v>
      </c>
      <c r="AG31" s="85">
        <f t="shared" si="40"/>
        <v>0</v>
      </c>
      <c r="AH31" s="120" t="s">
        <v>68</v>
      </c>
      <c r="AI31" s="325"/>
      <c r="AJ31" s="38">
        <f t="shared" si="41"/>
        <v>0</v>
      </c>
      <c r="AK31" s="85">
        <f t="shared" si="42"/>
        <v>0</v>
      </c>
      <c r="AL31" s="203">
        <v>0</v>
      </c>
      <c r="AM31" s="172">
        <v>0</v>
      </c>
      <c r="AN31" s="173">
        <v>0</v>
      </c>
      <c r="AO31" s="174">
        <f t="shared" si="43"/>
        <v>0</v>
      </c>
      <c r="AP31" s="208">
        <f>+AO31/AO51</f>
        <v>0</v>
      </c>
      <c r="AQ31" s="90">
        <v>0</v>
      </c>
      <c r="AR31" s="85">
        <f t="shared" si="44"/>
        <v>0</v>
      </c>
      <c r="AS31" s="120" t="s">
        <v>68</v>
      </c>
      <c r="AT31" s="325"/>
      <c r="AU31" s="38">
        <f t="shared" si="45"/>
        <v>0</v>
      </c>
      <c r="AV31" s="85">
        <f t="shared" si="46"/>
        <v>0</v>
      </c>
      <c r="AW31" s="203">
        <v>0</v>
      </c>
      <c r="AX31" s="172">
        <v>0</v>
      </c>
      <c r="AY31" s="173">
        <v>0</v>
      </c>
      <c r="AZ31" s="174">
        <f t="shared" si="47"/>
        <v>0</v>
      </c>
      <c r="BA31" s="208">
        <f>+AZ31/AZ51</f>
        <v>0</v>
      </c>
      <c r="BB31" s="90">
        <v>0</v>
      </c>
      <c r="BC31" s="258">
        <f t="shared" si="51"/>
        <v>0</v>
      </c>
      <c r="BD31" s="120" t="s">
        <v>68</v>
      </c>
      <c r="BE31" s="277"/>
      <c r="BF31" s="38">
        <f t="shared" si="56"/>
        <v>0</v>
      </c>
      <c r="BG31" s="85">
        <f t="shared" si="54"/>
        <v>0</v>
      </c>
      <c r="BH31" s="203">
        <v>0</v>
      </c>
      <c r="BI31" s="172">
        <v>0</v>
      </c>
      <c r="BJ31" s="173">
        <v>0</v>
      </c>
      <c r="BK31" s="174">
        <f t="shared" si="48"/>
        <v>0</v>
      </c>
      <c r="BL31" s="208">
        <f>+BK31/BK51</f>
        <v>0</v>
      </c>
      <c r="BM31" s="90">
        <v>0</v>
      </c>
      <c r="BN31" s="258">
        <f t="shared" si="61"/>
        <v>0</v>
      </c>
      <c r="BO31" s="120" t="s">
        <v>68</v>
      </c>
      <c r="BP31" s="277"/>
      <c r="BQ31" s="38">
        <f t="shared" si="57"/>
        <v>0</v>
      </c>
      <c r="BR31" s="85">
        <f t="shared" si="9"/>
        <v>0</v>
      </c>
      <c r="BS31" s="203">
        <v>0</v>
      </c>
      <c r="BT31" s="172">
        <v>0</v>
      </c>
      <c r="BU31" s="173">
        <v>0</v>
      </c>
      <c r="BV31" s="174">
        <f t="shared" si="49"/>
        <v>0</v>
      </c>
      <c r="BW31" s="208">
        <f>+BV31/BV51</f>
        <v>0</v>
      </c>
      <c r="BX31" s="90">
        <v>0</v>
      </c>
      <c r="BY31" s="258">
        <f t="shared" si="11"/>
        <v>0</v>
      </c>
      <c r="BZ31" s="120" t="s">
        <v>68</v>
      </c>
      <c r="CA31" s="277"/>
      <c r="CB31" s="38">
        <f t="shared" si="58"/>
        <v>0</v>
      </c>
      <c r="CC31" s="85">
        <f t="shared" si="62"/>
        <v>0</v>
      </c>
      <c r="CD31" s="203">
        <v>0</v>
      </c>
      <c r="CE31" s="172">
        <v>0</v>
      </c>
      <c r="CF31" s="173">
        <v>0</v>
      </c>
      <c r="CG31" s="174">
        <f t="shared" si="59"/>
        <v>0</v>
      </c>
      <c r="CH31" s="208">
        <f>+CG31/CG51</f>
        <v>0</v>
      </c>
      <c r="CI31" s="90">
        <v>0</v>
      </c>
      <c r="CJ31" s="258">
        <f t="shared" si="60"/>
        <v>0</v>
      </c>
      <c r="CK31" s="120" t="s">
        <v>68</v>
      </c>
      <c r="CL31" s="277"/>
      <c r="CM31" s="38">
        <f t="shared" si="63"/>
        <v>0</v>
      </c>
      <c r="CN31" s="85">
        <f t="shared" si="18"/>
        <v>0</v>
      </c>
      <c r="CO31" s="203">
        <v>0</v>
      </c>
      <c r="CP31" s="172">
        <v>0</v>
      </c>
      <c r="CQ31" s="173">
        <v>0</v>
      </c>
      <c r="CR31" s="174">
        <f t="shared" si="20"/>
        <v>0</v>
      </c>
      <c r="CS31" s="208">
        <f>+CR31/CR51</f>
        <v>0</v>
      </c>
      <c r="CT31" s="90">
        <v>0</v>
      </c>
      <c r="CU31" s="258">
        <f t="shared" si="21"/>
        <v>0</v>
      </c>
      <c r="CV31" s="120" t="s">
        <v>68</v>
      </c>
      <c r="CW31" s="277"/>
      <c r="CX31" s="38">
        <f t="shared" si="22"/>
        <v>0</v>
      </c>
      <c r="CY31" s="85">
        <f t="shared" si="23"/>
        <v>0</v>
      </c>
      <c r="CZ31" s="203">
        <v>0</v>
      </c>
      <c r="DA31" s="172">
        <v>0</v>
      </c>
      <c r="DB31" s="173">
        <v>0</v>
      </c>
      <c r="DC31" s="174">
        <f t="shared" si="25"/>
        <v>0</v>
      </c>
      <c r="DD31" s="208">
        <f>+DC31/DC51</f>
        <v>0</v>
      </c>
      <c r="DE31" s="90">
        <v>0</v>
      </c>
      <c r="DF31" s="258">
        <f t="shared" si="26"/>
        <v>0</v>
      </c>
      <c r="DG31" s="120" t="s">
        <v>68</v>
      </c>
      <c r="DH31" s="277"/>
      <c r="DI31" s="283">
        <f t="shared" si="52"/>
        <v>0</v>
      </c>
      <c r="DJ31" s="85">
        <f t="shared" si="53"/>
        <v>0</v>
      </c>
      <c r="DK31" s="203">
        <v>0</v>
      </c>
      <c r="DL31" s="172">
        <v>0</v>
      </c>
      <c r="DM31" s="173">
        <v>0</v>
      </c>
      <c r="DN31" s="174">
        <f t="shared" si="28"/>
        <v>0</v>
      </c>
      <c r="DO31" s="208">
        <f>+DN31/DN51</f>
        <v>0</v>
      </c>
      <c r="DP31" s="90">
        <v>0</v>
      </c>
      <c r="DQ31" s="258">
        <f t="shared" si="50"/>
        <v>0</v>
      </c>
    </row>
    <row r="32" spans="1:121" ht="23.25" customHeight="1">
      <c r="A32" s="120" t="s">
        <v>77</v>
      </c>
      <c r="B32" s="325"/>
      <c r="C32" s="38">
        <f t="shared" si="29"/>
        <v>0</v>
      </c>
      <c r="D32" s="85">
        <f t="shared" si="30"/>
        <v>0</v>
      </c>
      <c r="E32" s="203">
        <f>+D32/B24</f>
        <v>0</v>
      </c>
      <c r="F32" s="172">
        <v>0</v>
      </c>
      <c r="G32" s="173">
        <v>0</v>
      </c>
      <c r="H32" s="174">
        <f t="shared" si="31"/>
        <v>0</v>
      </c>
      <c r="I32" s="208">
        <f>+H32/H51</f>
        <v>0</v>
      </c>
      <c r="J32" s="90">
        <v>0</v>
      </c>
      <c r="K32" s="85">
        <f t="shared" si="32"/>
        <v>0</v>
      </c>
      <c r="L32" s="120" t="s">
        <v>77</v>
      </c>
      <c r="M32" s="325"/>
      <c r="N32" s="38">
        <f t="shared" si="33"/>
        <v>0</v>
      </c>
      <c r="O32" s="85">
        <f t="shared" si="34"/>
        <v>0</v>
      </c>
      <c r="P32" s="203">
        <f>+O32/M24</f>
        <v>0</v>
      </c>
      <c r="Q32" s="172">
        <v>0</v>
      </c>
      <c r="R32" s="173">
        <v>0</v>
      </c>
      <c r="S32" s="174">
        <f t="shared" si="35"/>
        <v>0</v>
      </c>
      <c r="T32" s="208">
        <f>+S32/S51</f>
        <v>0</v>
      </c>
      <c r="U32" s="90">
        <v>0</v>
      </c>
      <c r="V32" s="85">
        <f t="shared" si="36"/>
        <v>0</v>
      </c>
      <c r="W32" s="120" t="s">
        <v>77</v>
      </c>
      <c r="X32" s="325"/>
      <c r="Y32" s="38">
        <f t="shared" si="37"/>
        <v>0</v>
      </c>
      <c r="Z32" s="85">
        <f t="shared" si="38"/>
        <v>0</v>
      </c>
      <c r="AA32" s="203">
        <f>+Z32/X24</f>
        <v>0</v>
      </c>
      <c r="AB32" s="172">
        <v>0</v>
      </c>
      <c r="AC32" s="173">
        <v>0</v>
      </c>
      <c r="AD32" s="174">
        <f t="shared" si="39"/>
        <v>0</v>
      </c>
      <c r="AE32" s="208">
        <f>+AD32/AD51</f>
        <v>0</v>
      </c>
      <c r="AF32" s="90">
        <v>0</v>
      </c>
      <c r="AG32" s="85">
        <f t="shared" si="40"/>
        <v>0</v>
      </c>
      <c r="AH32" s="120" t="s">
        <v>77</v>
      </c>
      <c r="AI32" s="325"/>
      <c r="AJ32" s="38">
        <f t="shared" si="41"/>
        <v>0</v>
      </c>
      <c r="AK32" s="85">
        <f t="shared" si="42"/>
        <v>0</v>
      </c>
      <c r="AL32" s="203">
        <f>+AK32/AI24</f>
        <v>0</v>
      </c>
      <c r="AM32" s="172">
        <v>0</v>
      </c>
      <c r="AN32" s="173">
        <v>0</v>
      </c>
      <c r="AO32" s="174">
        <f t="shared" si="43"/>
        <v>0</v>
      </c>
      <c r="AP32" s="208">
        <f>+AO32/AO51</f>
        <v>0</v>
      </c>
      <c r="AQ32" s="90">
        <v>0</v>
      </c>
      <c r="AR32" s="85">
        <f t="shared" si="44"/>
        <v>0</v>
      </c>
      <c r="AS32" s="120" t="s">
        <v>77</v>
      </c>
      <c r="AT32" s="325"/>
      <c r="AU32" s="38">
        <f t="shared" si="45"/>
        <v>0</v>
      </c>
      <c r="AV32" s="85">
        <f t="shared" si="46"/>
        <v>0</v>
      </c>
      <c r="AW32" s="203">
        <f>+AV32/AT24</f>
        <v>0</v>
      </c>
      <c r="AX32" s="172">
        <v>0</v>
      </c>
      <c r="AY32" s="173">
        <v>0</v>
      </c>
      <c r="AZ32" s="174">
        <f t="shared" si="47"/>
        <v>0</v>
      </c>
      <c r="BA32" s="208">
        <f>+AZ32/AZ51</f>
        <v>0</v>
      </c>
      <c r="BB32" s="90">
        <v>0</v>
      </c>
      <c r="BC32" s="258">
        <f t="shared" si="51"/>
        <v>0</v>
      </c>
      <c r="BD32" s="120" t="s">
        <v>77</v>
      </c>
      <c r="BE32" s="277"/>
      <c r="BF32" s="38">
        <f t="shared" si="56"/>
        <v>0</v>
      </c>
      <c r="BG32" s="85">
        <f t="shared" si="54"/>
        <v>0</v>
      </c>
      <c r="BH32" s="203">
        <f>+BG32/BE24</f>
        <v>0</v>
      </c>
      <c r="BI32" s="172">
        <v>0</v>
      </c>
      <c r="BJ32" s="173">
        <v>0</v>
      </c>
      <c r="BK32" s="174">
        <f t="shared" si="48"/>
        <v>0</v>
      </c>
      <c r="BL32" s="208">
        <f>+BK32/BK51</f>
        <v>0</v>
      </c>
      <c r="BM32" s="90">
        <v>0</v>
      </c>
      <c r="BN32" s="258">
        <f t="shared" si="61"/>
        <v>0</v>
      </c>
      <c r="BO32" s="120" t="s">
        <v>77</v>
      </c>
      <c r="BP32" s="277"/>
      <c r="BQ32" s="38">
        <f t="shared" si="57"/>
        <v>0</v>
      </c>
      <c r="BR32" s="85">
        <f t="shared" si="9"/>
        <v>0</v>
      </c>
      <c r="BS32" s="203">
        <f>+BR32/BP24</f>
        <v>0</v>
      </c>
      <c r="BT32" s="172">
        <v>0</v>
      </c>
      <c r="BU32" s="173">
        <v>0</v>
      </c>
      <c r="BV32" s="174">
        <f t="shared" si="49"/>
        <v>0</v>
      </c>
      <c r="BW32" s="208">
        <f>+BV32/BV51</f>
        <v>0</v>
      </c>
      <c r="BX32" s="90">
        <v>0</v>
      </c>
      <c r="BY32" s="258">
        <f t="shared" si="11"/>
        <v>0</v>
      </c>
      <c r="BZ32" s="120" t="s">
        <v>77</v>
      </c>
      <c r="CA32" s="277"/>
      <c r="CB32" s="38">
        <f t="shared" si="58"/>
        <v>0</v>
      </c>
      <c r="CC32" s="85">
        <f t="shared" si="62"/>
        <v>0</v>
      </c>
      <c r="CD32" s="203">
        <f>+CC32/CA24</f>
        <v>0</v>
      </c>
      <c r="CE32" s="172">
        <v>0</v>
      </c>
      <c r="CF32" s="173">
        <v>0</v>
      </c>
      <c r="CG32" s="174">
        <f t="shared" si="59"/>
        <v>0</v>
      </c>
      <c r="CH32" s="208">
        <f>+CG32/CG51</f>
        <v>0</v>
      </c>
      <c r="CI32" s="90">
        <v>0</v>
      </c>
      <c r="CJ32" s="258">
        <f t="shared" si="60"/>
        <v>0</v>
      </c>
      <c r="CK32" s="120" t="s">
        <v>77</v>
      </c>
      <c r="CL32" s="277"/>
      <c r="CM32" s="38">
        <f t="shared" si="63"/>
        <v>0</v>
      </c>
      <c r="CN32" s="85">
        <f t="shared" si="18"/>
        <v>0</v>
      </c>
      <c r="CO32" s="203">
        <f>+CN32/CL24</f>
        <v>0</v>
      </c>
      <c r="CP32" s="172">
        <v>0</v>
      </c>
      <c r="CQ32" s="173">
        <v>0</v>
      </c>
      <c r="CR32" s="174">
        <f t="shared" si="20"/>
        <v>0</v>
      </c>
      <c r="CS32" s="208">
        <f>+CR32/CR51</f>
        <v>0</v>
      </c>
      <c r="CT32" s="90">
        <v>0</v>
      </c>
      <c r="CU32" s="258">
        <f t="shared" si="21"/>
        <v>0</v>
      </c>
      <c r="CV32" s="120" t="s">
        <v>77</v>
      </c>
      <c r="CW32" s="277"/>
      <c r="CX32" s="38">
        <f t="shared" si="22"/>
        <v>0</v>
      </c>
      <c r="CY32" s="85">
        <f t="shared" si="23"/>
        <v>0</v>
      </c>
      <c r="CZ32" s="203">
        <f>+CY32/CW24</f>
        <v>0</v>
      </c>
      <c r="DA32" s="172">
        <v>0</v>
      </c>
      <c r="DB32" s="173">
        <v>0</v>
      </c>
      <c r="DC32" s="174">
        <f t="shared" si="25"/>
        <v>0</v>
      </c>
      <c r="DD32" s="208">
        <f>+DC32/DC51</f>
        <v>0</v>
      </c>
      <c r="DE32" s="90">
        <v>0</v>
      </c>
      <c r="DF32" s="258">
        <f t="shared" si="26"/>
        <v>0</v>
      </c>
      <c r="DG32" s="120" t="s">
        <v>217</v>
      </c>
      <c r="DH32" s="277"/>
      <c r="DI32" s="283">
        <v>1045</v>
      </c>
      <c r="DJ32" s="85">
        <f t="shared" si="53"/>
        <v>1045</v>
      </c>
      <c r="DK32" s="203">
        <f>+DJ32/DH24</f>
        <v>0.0026111944027986007</v>
      </c>
      <c r="DL32" s="172">
        <v>0</v>
      </c>
      <c r="DM32" s="173">
        <v>0</v>
      </c>
      <c r="DN32" s="174">
        <f t="shared" si="28"/>
        <v>0</v>
      </c>
      <c r="DO32" s="208">
        <f>+DN32/DN51</f>
        <v>0</v>
      </c>
      <c r="DP32" s="90">
        <f>DI32</f>
        <v>1045</v>
      </c>
      <c r="DQ32" s="258">
        <f t="shared" si="50"/>
        <v>1045</v>
      </c>
    </row>
    <row r="33" spans="1:121" ht="23.25" customHeight="1">
      <c r="A33" s="120" t="s">
        <v>100</v>
      </c>
      <c r="B33" s="325"/>
      <c r="C33" s="38">
        <f t="shared" si="29"/>
        <v>0</v>
      </c>
      <c r="D33" s="85">
        <f t="shared" si="30"/>
        <v>0</v>
      </c>
      <c r="E33" s="203">
        <f>+D33/B24</f>
        <v>0</v>
      </c>
      <c r="F33" s="172">
        <v>0</v>
      </c>
      <c r="G33" s="173">
        <v>0</v>
      </c>
      <c r="H33" s="174">
        <f t="shared" si="31"/>
        <v>0</v>
      </c>
      <c r="I33" s="208">
        <f>+H33/H51</f>
        <v>0</v>
      </c>
      <c r="J33" s="90">
        <v>0</v>
      </c>
      <c r="K33" s="85">
        <f t="shared" si="32"/>
        <v>0</v>
      </c>
      <c r="L33" s="120" t="s">
        <v>100</v>
      </c>
      <c r="M33" s="325"/>
      <c r="N33" s="38">
        <f t="shared" si="33"/>
        <v>0</v>
      </c>
      <c r="O33" s="85">
        <f t="shared" si="34"/>
        <v>0</v>
      </c>
      <c r="P33" s="203">
        <f>+O33/M24</f>
        <v>0</v>
      </c>
      <c r="Q33" s="172">
        <v>0</v>
      </c>
      <c r="R33" s="173">
        <v>0</v>
      </c>
      <c r="S33" s="174">
        <f t="shared" si="35"/>
        <v>0</v>
      </c>
      <c r="T33" s="208">
        <f>+S33/S51</f>
        <v>0</v>
      </c>
      <c r="U33" s="90">
        <v>0</v>
      </c>
      <c r="V33" s="85">
        <f t="shared" si="36"/>
        <v>0</v>
      </c>
      <c r="W33" s="120" t="s">
        <v>100</v>
      </c>
      <c r="X33" s="325"/>
      <c r="Y33" s="38">
        <f t="shared" si="37"/>
        <v>0</v>
      </c>
      <c r="Z33" s="85">
        <f t="shared" si="38"/>
        <v>0</v>
      </c>
      <c r="AA33" s="203">
        <f>+Z33/X24</f>
        <v>0</v>
      </c>
      <c r="AB33" s="172">
        <v>0</v>
      </c>
      <c r="AC33" s="173">
        <v>0</v>
      </c>
      <c r="AD33" s="174">
        <f t="shared" si="39"/>
        <v>0</v>
      </c>
      <c r="AE33" s="208">
        <f>+AD33/AD51</f>
        <v>0</v>
      </c>
      <c r="AF33" s="90">
        <v>0</v>
      </c>
      <c r="AG33" s="85">
        <f t="shared" si="40"/>
        <v>0</v>
      </c>
      <c r="AH33" s="120" t="s">
        <v>100</v>
      </c>
      <c r="AI33" s="325"/>
      <c r="AJ33" s="38">
        <f t="shared" si="41"/>
        <v>0</v>
      </c>
      <c r="AK33" s="85">
        <f t="shared" si="42"/>
        <v>0</v>
      </c>
      <c r="AL33" s="203">
        <f>+AK33/AI24</f>
        <v>0</v>
      </c>
      <c r="AM33" s="172">
        <v>0</v>
      </c>
      <c r="AN33" s="173">
        <v>0</v>
      </c>
      <c r="AO33" s="174">
        <f t="shared" si="43"/>
        <v>0</v>
      </c>
      <c r="AP33" s="208">
        <f>+AO33/AO51</f>
        <v>0</v>
      </c>
      <c r="AQ33" s="90">
        <v>0</v>
      </c>
      <c r="AR33" s="85">
        <f t="shared" si="44"/>
        <v>0</v>
      </c>
      <c r="AS33" s="120" t="s">
        <v>100</v>
      </c>
      <c r="AT33" s="325"/>
      <c r="AU33" s="38">
        <f t="shared" si="45"/>
        <v>0</v>
      </c>
      <c r="AV33" s="85">
        <f t="shared" si="46"/>
        <v>0</v>
      </c>
      <c r="AW33" s="203">
        <f>+AV33/AT24</f>
        <v>0</v>
      </c>
      <c r="AX33" s="172">
        <v>0</v>
      </c>
      <c r="AY33" s="173">
        <v>0</v>
      </c>
      <c r="AZ33" s="174">
        <f t="shared" si="47"/>
        <v>0</v>
      </c>
      <c r="BA33" s="208">
        <f>+AZ33/AZ51</f>
        <v>0</v>
      </c>
      <c r="BB33" s="90">
        <v>0</v>
      </c>
      <c r="BC33" s="258">
        <f t="shared" si="51"/>
        <v>0</v>
      </c>
      <c r="BD33" s="120" t="s">
        <v>100</v>
      </c>
      <c r="BE33" s="277"/>
      <c r="BF33" s="38">
        <f t="shared" si="56"/>
        <v>0</v>
      </c>
      <c r="BG33" s="85">
        <f t="shared" si="54"/>
        <v>0</v>
      </c>
      <c r="BH33" s="203">
        <f>+BG33/BE24</f>
        <v>0</v>
      </c>
      <c r="BI33" s="172">
        <v>0</v>
      </c>
      <c r="BJ33" s="173">
        <v>0</v>
      </c>
      <c r="BK33" s="174">
        <f t="shared" si="48"/>
        <v>0</v>
      </c>
      <c r="BL33" s="208">
        <f>+BK33/BK51</f>
        <v>0</v>
      </c>
      <c r="BM33" s="90">
        <v>0</v>
      </c>
      <c r="BN33" s="258">
        <f t="shared" si="61"/>
        <v>0</v>
      </c>
      <c r="BO33" s="120" t="s">
        <v>100</v>
      </c>
      <c r="BP33" s="277"/>
      <c r="BQ33" s="38">
        <f t="shared" si="57"/>
        <v>0</v>
      </c>
      <c r="BR33" s="85">
        <f t="shared" si="9"/>
        <v>0</v>
      </c>
      <c r="BS33" s="203">
        <f>+BR33/BP24</f>
        <v>0</v>
      </c>
      <c r="BT33" s="172">
        <v>0</v>
      </c>
      <c r="BU33" s="173">
        <v>0</v>
      </c>
      <c r="BV33" s="174">
        <f t="shared" si="49"/>
        <v>0</v>
      </c>
      <c r="BW33" s="208">
        <f>+BV33/BV51</f>
        <v>0</v>
      </c>
      <c r="BX33" s="90">
        <v>0</v>
      </c>
      <c r="BY33" s="258">
        <f t="shared" si="11"/>
        <v>0</v>
      </c>
      <c r="BZ33" s="120" t="s">
        <v>100</v>
      </c>
      <c r="CA33" s="277"/>
      <c r="CB33" s="38">
        <f t="shared" si="58"/>
        <v>0</v>
      </c>
      <c r="CC33" s="85">
        <f t="shared" si="62"/>
        <v>0</v>
      </c>
      <c r="CD33" s="203">
        <f>+CC33/CA24</f>
        <v>0</v>
      </c>
      <c r="CE33" s="172">
        <v>0</v>
      </c>
      <c r="CF33" s="173">
        <v>0</v>
      </c>
      <c r="CG33" s="174">
        <f t="shared" si="59"/>
        <v>0</v>
      </c>
      <c r="CH33" s="208">
        <f>+CG33/CG51</f>
        <v>0</v>
      </c>
      <c r="CI33" s="90">
        <v>0</v>
      </c>
      <c r="CJ33" s="258">
        <f t="shared" si="60"/>
        <v>0</v>
      </c>
      <c r="CK33" s="120" t="s">
        <v>100</v>
      </c>
      <c r="CL33" s="277"/>
      <c r="CM33" s="38">
        <f t="shared" si="63"/>
        <v>0</v>
      </c>
      <c r="CN33" s="85">
        <f t="shared" si="18"/>
        <v>0</v>
      </c>
      <c r="CO33" s="203">
        <f>+CN33/CL24</f>
        <v>0</v>
      </c>
      <c r="CP33" s="172">
        <v>0</v>
      </c>
      <c r="CQ33" s="173">
        <v>0</v>
      </c>
      <c r="CR33" s="174">
        <f t="shared" si="20"/>
        <v>0</v>
      </c>
      <c r="CS33" s="208">
        <f>+CR33/CR51</f>
        <v>0</v>
      </c>
      <c r="CT33" s="90">
        <v>0</v>
      </c>
      <c r="CU33" s="258">
        <f t="shared" si="21"/>
        <v>0</v>
      </c>
      <c r="CV33" s="120" t="s">
        <v>100</v>
      </c>
      <c r="CW33" s="277"/>
      <c r="CX33" s="38">
        <f t="shared" si="22"/>
        <v>0</v>
      </c>
      <c r="CY33" s="85">
        <f t="shared" si="23"/>
        <v>0</v>
      </c>
      <c r="CZ33" s="203">
        <f>+CY33/CW24</f>
        <v>0</v>
      </c>
      <c r="DA33" s="172">
        <v>0</v>
      </c>
      <c r="DB33" s="173">
        <v>0</v>
      </c>
      <c r="DC33" s="174">
        <f t="shared" si="25"/>
        <v>0</v>
      </c>
      <c r="DD33" s="208">
        <f>+DC33/DC51</f>
        <v>0</v>
      </c>
      <c r="DE33" s="90">
        <v>0</v>
      </c>
      <c r="DF33" s="258">
        <f t="shared" si="26"/>
        <v>0</v>
      </c>
      <c r="DG33" s="120" t="s">
        <v>100</v>
      </c>
      <c r="DH33" s="277"/>
      <c r="DI33" s="283">
        <f t="shared" si="52"/>
        <v>0</v>
      </c>
      <c r="DJ33" s="85">
        <f t="shared" si="53"/>
        <v>0</v>
      </c>
      <c r="DK33" s="203">
        <f>+DJ33/DH24</f>
        <v>0</v>
      </c>
      <c r="DL33" s="172">
        <v>0</v>
      </c>
      <c r="DM33" s="173">
        <v>0</v>
      </c>
      <c r="DN33" s="174">
        <f t="shared" si="28"/>
        <v>0</v>
      </c>
      <c r="DO33" s="208">
        <f>+DN33/DN51</f>
        <v>0</v>
      </c>
      <c r="DP33" s="90">
        <v>0</v>
      </c>
      <c r="DQ33" s="258">
        <f t="shared" si="50"/>
        <v>0</v>
      </c>
    </row>
    <row r="34" spans="1:121" ht="23.25" customHeight="1">
      <c r="A34" s="120" t="s">
        <v>101</v>
      </c>
      <c r="B34" s="325"/>
      <c r="C34" s="38">
        <f t="shared" si="29"/>
        <v>0</v>
      </c>
      <c r="D34" s="85">
        <f t="shared" si="30"/>
        <v>0</v>
      </c>
      <c r="E34" s="203">
        <v>0</v>
      </c>
      <c r="F34" s="172">
        <v>0</v>
      </c>
      <c r="G34" s="173">
        <v>0</v>
      </c>
      <c r="H34" s="174">
        <f t="shared" si="31"/>
        <v>0</v>
      </c>
      <c r="I34" s="208">
        <f>+H34/H51</f>
        <v>0</v>
      </c>
      <c r="J34" s="90">
        <v>0</v>
      </c>
      <c r="K34" s="85">
        <f t="shared" si="32"/>
        <v>0</v>
      </c>
      <c r="L34" s="120" t="s">
        <v>101</v>
      </c>
      <c r="M34" s="325"/>
      <c r="N34" s="38">
        <f t="shared" si="33"/>
        <v>0</v>
      </c>
      <c r="O34" s="85">
        <f t="shared" si="34"/>
        <v>0</v>
      </c>
      <c r="P34" s="203">
        <v>0</v>
      </c>
      <c r="Q34" s="172">
        <v>0</v>
      </c>
      <c r="R34" s="173">
        <v>0</v>
      </c>
      <c r="S34" s="174">
        <f t="shared" si="35"/>
        <v>0</v>
      </c>
      <c r="T34" s="208">
        <f>+S34/S51</f>
        <v>0</v>
      </c>
      <c r="U34" s="90">
        <v>0</v>
      </c>
      <c r="V34" s="85">
        <f t="shared" si="36"/>
        <v>0</v>
      </c>
      <c r="W34" s="120" t="s">
        <v>101</v>
      </c>
      <c r="X34" s="325"/>
      <c r="Y34" s="38">
        <f t="shared" si="37"/>
        <v>0</v>
      </c>
      <c r="Z34" s="85">
        <f t="shared" si="38"/>
        <v>0</v>
      </c>
      <c r="AA34" s="203">
        <v>0</v>
      </c>
      <c r="AB34" s="172">
        <v>0</v>
      </c>
      <c r="AC34" s="173">
        <v>0</v>
      </c>
      <c r="AD34" s="174">
        <f t="shared" si="39"/>
        <v>0</v>
      </c>
      <c r="AE34" s="208">
        <f>+AD34/AD51</f>
        <v>0</v>
      </c>
      <c r="AF34" s="90">
        <v>0</v>
      </c>
      <c r="AG34" s="85">
        <f t="shared" si="40"/>
        <v>0</v>
      </c>
      <c r="AH34" s="120" t="s">
        <v>101</v>
      </c>
      <c r="AI34" s="325"/>
      <c r="AJ34" s="38">
        <f t="shared" si="41"/>
        <v>20000</v>
      </c>
      <c r="AK34" s="85">
        <f t="shared" si="42"/>
        <v>20000</v>
      </c>
      <c r="AL34" s="203">
        <v>0</v>
      </c>
      <c r="AM34" s="172">
        <v>0</v>
      </c>
      <c r="AN34" s="173">
        <v>0</v>
      </c>
      <c r="AO34" s="174">
        <f t="shared" si="43"/>
        <v>0</v>
      </c>
      <c r="AP34" s="208">
        <f>+AO34/AO51</f>
        <v>0</v>
      </c>
      <c r="AQ34" s="90">
        <v>20000</v>
      </c>
      <c r="AR34" s="85">
        <f t="shared" si="44"/>
        <v>20000</v>
      </c>
      <c r="AS34" s="120" t="s">
        <v>101</v>
      </c>
      <c r="AT34" s="325"/>
      <c r="AU34" s="38">
        <f t="shared" si="45"/>
        <v>0</v>
      </c>
      <c r="AV34" s="85">
        <f t="shared" si="46"/>
        <v>20000</v>
      </c>
      <c r="AW34" s="203">
        <v>0</v>
      </c>
      <c r="AX34" s="172">
        <v>0</v>
      </c>
      <c r="AY34" s="173">
        <v>0</v>
      </c>
      <c r="AZ34" s="174">
        <f t="shared" si="47"/>
        <v>0</v>
      </c>
      <c r="BA34" s="208">
        <f>+AZ34/AZ51</f>
        <v>0</v>
      </c>
      <c r="BB34" s="90">
        <v>0</v>
      </c>
      <c r="BC34" s="258">
        <f t="shared" si="51"/>
        <v>20000</v>
      </c>
      <c r="BD34" s="120" t="s">
        <v>101</v>
      </c>
      <c r="BE34" s="277"/>
      <c r="BF34" s="38">
        <f t="shared" si="56"/>
        <v>0</v>
      </c>
      <c r="BG34" s="85">
        <f t="shared" si="54"/>
        <v>20000</v>
      </c>
      <c r="BH34" s="203">
        <v>0</v>
      </c>
      <c r="BI34" s="172">
        <v>0</v>
      </c>
      <c r="BJ34" s="173">
        <v>0</v>
      </c>
      <c r="BK34" s="174">
        <f t="shared" si="48"/>
        <v>0</v>
      </c>
      <c r="BL34" s="208">
        <f>+BK34/BK51</f>
        <v>0</v>
      </c>
      <c r="BM34" s="90">
        <v>0</v>
      </c>
      <c r="BN34" s="258">
        <f t="shared" si="61"/>
        <v>20000</v>
      </c>
      <c r="BO34" s="120" t="s">
        <v>101</v>
      </c>
      <c r="BP34" s="277"/>
      <c r="BQ34" s="38">
        <f t="shared" si="57"/>
        <v>0</v>
      </c>
      <c r="BR34" s="85">
        <f t="shared" si="9"/>
        <v>20000</v>
      </c>
      <c r="BS34" s="203">
        <v>0</v>
      </c>
      <c r="BT34" s="172">
        <v>0</v>
      </c>
      <c r="BU34" s="173">
        <v>0</v>
      </c>
      <c r="BV34" s="174">
        <f t="shared" si="49"/>
        <v>0</v>
      </c>
      <c r="BW34" s="208">
        <f>+BV34/BV51</f>
        <v>0</v>
      </c>
      <c r="BX34" s="90">
        <v>0</v>
      </c>
      <c r="BY34" s="258">
        <f t="shared" si="11"/>
        <v>20000</v>
      </c>
      <c r="BZ34" s="120" t="s">
        <v>101</v>
      </c>
      <c r="CA34" s="277"/>
      <c r="CB34" s="38">
        <f t="shared" si="58"/>
        <v>0</v>
      </c>
      <c r="CC34" s="85">
        <f t="shared" si="62"/>
        <v>20000</v>
      </c>
      <c r="CD34" s="203">
        <v>0</v>
      </c>
      <c r="CE34" s="172">
        <v>0</v>
      </c>
      <c r="CF34" s="173">
        <v>0</v>
      </c>
      <c r="CG34" s="174">
        <f t="shared" si="59"/>
        <v>0</v>
      </c>
      <c r="CH34" s="208">
        <f>+CG34/CG51</f>
        <v>0</v>
      </c>
      <c r="CI34" s="90">
        <v>0</v>
      </c>
      <c r="CJ34" s="258">
        <f t="shared" si="60"/>
        <v>20000</v>
      </c>
      <c r="CK34" s="120" t="s">
        <v>101</v>
      </c>
      <c r="CL34" s="277"/>
      <c r="CM34" s="38">
        <f t="shared" si="63"/>
        <v>25000</v>
      </c>
      <c r="CN34" s="85">
        <f t="shared" si="18"/>
        <v>45000</v>
      </c>
      <c r="CO34" s="203">
        <v>0</v>
      </c>
      <c r="CP34" s="172">
        <v>0</v>
      </c>
      <c r="CQ34" s="173">
        <v>0</v>
      </c>
      <c r="CR34" s="174">
        <f t="shared" si="20"/>
        <v>0</v>
      </c>
      <c r="CS34" s="208">
        <f>+CR34/CR51</f>
        <v>0</v>
      </c>
      <c r="CT34" s="90">
        <v>25000</v>
      </c>
      <c r="CU34" s="258">
        <f t="shared" si="21"/>
        <v>45000</v>
      </c>
      <c r="CV34" s="120" t="s">
        <v>101</v>
      </c>
      <c r="CW34" s="277"/>
      <c r="CX34" s="38">
        <f t="shared" si="22"/>
        <v>0</v>
      </c>
      <c r="CY34" s="85">
        <f t="shared" si="23"/>
        <v>45000</v>
      </c>
      <c r="CZ34" s="203">
        <v>0</v>
      </c>
      <c r="DA34" s="172">
        <v>0</v>
      </c>
      <c r="DB34" s="173">
        <v>0</v>
      </c>
      <c r="DC34" s="174">
        <f t="shared" si="25"/>
        <v>0</v>
      </c>
      <c r="DD34" s="208">
        <f>+DC34/DC51</f>
        <v>0</v>
      </c>
      <c r="DE34" s="90">
        <v>0</v>
      </c>
      <c r="DF34" s="258">
        <f t="shared" si="26"/>
        <v>45000</v>
      </c>
      <c r="DG34" s="120" t="s">
        <v>101</v>
      </c>
      <c r="DH34" s="277"/>
      <c r="DI34" s="283">
        <v>0</v>
      </c>
      <c r="DJ34" s="85">
        <f t="shared" si="53"/>
        <v>45000</v>
      </c>
      <c r="DK34" s="203">
        <v>0</v>
      </c>
      <c r="DL34" s="172">
        <v>0</v>
      </c>
      <c r="DM34" s="173">
        <v>0</v>
      </c>
      <c r="DN34" s="174">
        <f t="shared" si="28"/>
        <v>0</v>
      </c>
      <c r="DO34" s="208">
        <f>+DN34/DN51</f>
        <v>0</v>
      </c>
      <c r="DP34" s="90">
        <f>DI34</f>
        <v>0</v>
      </c>
      <c r="DQ34" s="258">
        <f t="shared" si="50"/>
        <v>45000</v>
      </c>
    </row>
    <row r="35" spans="1:121" ht="23.25" customHeight="1">
      <c r="A35" s="121" t="s">
        <v>102</v>
      </c>
      <c r="B35" s="325"/>
      <c r="C35" s="38">
        <f t="shared" si="29"/>
        <v>0</v>
      </c>
      <c r="D35" s="85">
        <f t="shared" si="30"/>
        <v>0</v>
      </c>
      <c r="E35" s="203">
        <f>+D35/B24</f>
        <v>0</v>
      </c>
      <c r="F35" s="172">
        <v>0</v>
      </c>
      <c r="G35" s="173">
        <v>0</v>
      </c>
      <c r="H35" s="174">
        <f>+G35</f>
        <v>0</v>
      </c>
      <c r="I35" s="208">
        <f>+H35/H51</f>
        <v>0</v>
      </c>
      <c r="J35" s="90">
        <v>0</v>
      </c>
      <c r="K35" s="85">
        <f t="shared" si="32"/>
        <v>0</v>
      </c>
      <c r="L35" s="121" t="s">
        <v>102</v>
      </c>
      <c r="M35" s="325"/>
      <c r="N35" s="38">
        <f t="shared" si="33"/>
        <v>0</v>
      </c>
      <c r="O35" s="85">
        <f t="shared" si="34"/>
        <v>0</v>
      </c>
      <c r="P35" s="203">
        <f>+O35/M24</f>
        <v>0</v>
      </c>
      <c r="Q35" s="172">
        <v>0</v>
      </c>
      <c r="R35" s="173">
        <v>0</v>
      </c>
      <c r="S35" s="174">
        <f t="shared" si="35"/>
        <v>0</v>
      </c>
      <c r="T35" s="208">
        <f>+S35/S51</f>
        <v>0</v>
      </c>
      <c r="U35" s="90">
        <v>0</v>
      </c>
      <c r="V35" s="85">
        <f t="shared" si="36"/>
        <v>0</v>
      </c>
      <c r="W35" s="121" t="s">
        <v>102</v>
      </c>
      <c r="X35" s="325"/>
      <c r="Y35" s="38">
        <f t="shared" si="37"/>
        <v>0</v>
      </c>
      <c r="Z35" s="85">
        <f t="shared" si="38"/>
        <v>0</v>
      </c>
      <c r="AA35" s="203">
        <f>+Z35/X24</f>
        <v>0</v>
      </c>
      <c r="AB35" s="172">
        <v>0</v>
      </c>
      <c r="AC35" s="173">
        <v>0</v>
      </c>
      <c r="AD35" s="174">
        <f t="shared" si="39"/>
        <v>0</v>
      </c>
      <c r="AE35" s="208">
        <f>+AD35/AD51</f>
        <v>0</v>
      </c>
      <c r="AF35" s="90">
        <v>0</v>
      </c>
      <c r="AG35" s="85">
        <f t="shared" si="40"/>
        <v>0</v>
      </c>
      <c r="AH35" s="121" t="s">
        <v>102</v>
      </c>
      <c r="AI35" s="325"/>
      <c r="AJ35" s="38">
        <f t="shared" si="41"/>
        <v>5923.5</v>
      </c>
      <c r="AK35" s="85">
        <f t="shared" si="42"/>
        <v>5923.5</v>
      </c>
      <c r="AL35" s="203">
        <f>+AK35/AI24</f>
        <v>0.0018493069553987779</v>
      </c>
      <c r="AM35" s="172">
        <v>0</v>
      </c>
      <c r="AN35" s="173">
        <v>0</v>
      </c>
      <c r="AO35" s="174">
        <f t="shared" si="43"/>
        <v>0</v>
      </c>
      <c r="AP35" s="208">
        <f>+AO35/AO51</f>
        <v>0</v>
      </c>
      <c r="AQ35" s="90">
        <v>5923.5</v>
      </c>
      <c r="AR35" s="85">
        <f t="shared" si="44"/>
        <v>5923.5</v>
      </c>
      <c r="AS35" s="121" t="s">
        <v>102</v>
      </c>
      <c r="AT35" s="325"/>
      <c r="AU35" s="38">
        <f t="shared" si="45"/>
        <v>3500</v>
      </c>
      <c r="AV35" s="85">
        <f t="shared" si="46"/>
        <v>9423.5</v>
      </c>
      <c r="AW35" s="203">
        <f>+AV35/AT24</f>
        <v>0.023546976511744127</v>
      </c>
      <c r="AX35" s="172">
        <v>0</v>
      </c>
      <c r="AY35" s="173">
        <v>0</v>
      </c>
      <c r="AZ35" s="174">
        <f t="shared" si="47"/>
        <v>0</v>
      </c>
      <c r="BA35" s="208">
        <f>+AZ35/AZ51</f>
        <v>0</v>
      </c>
      <c r="BB35" s="90">
        <v>3500</v>
      </c>
      <c r="BC35" s="258">
        <f t="shared" si="51"/>
        <v>9423.5</v>
      </c>
      <c r="BD35" s="121" t="s">
        <v>102</v>
      </c>
      <c r="BE35" s="277"/>
      <c r="BF35" s="38">
        <f t="shared" si="56"/>
        <v>32140</v>
      </c>
      <c r="BG35" s="85">
        <f t="shared" si="54"/>
        <v>41563.5</v>
      </c>
      <c r="BH35" s="203">
        <f>+BG35/BE24</f>
        <v>0.1038568215892054</v>
      </c>
      <c r="BI35" s="172">
        <v>0</v>
      </c>
      <c r="BJ35" s="173">
        <v>0</v>
      </c>
      <c r="BK35" s="174">
        <f t="shared" si="48"/>
        <v>0</v>
      </c>
      <c r="BL35" s="208">
        <f>+BK35/BK51</f>
        <v>0</v>
      </c>
      <c r="BM35" s="90">
        <v>32140</v>
      </c>
      <c r="BN35" s="258">
        <f t="shared" si="61"/>
        <v>41563.5</v>
      </c>
      <c r="BO35" s="121" t="s">
        <v>102</v>
      </c>
      <c r="BP35" s="277"/>
      <c r="BQ35" s="38">
        <f t="shared" si="57"/>
        <v>0</v>
      </c>
      <c r="BR35" s="85">
        <f t="shared" si="9"/>
        <v>41563.5</v>
      </c>
      <c r="BS35" s="203">
        <f>+BR35/BP24</f>
        <v>0.1038568215892054</v>
      </c>
      <c r="BT35" s="172">
        <v>0</v>
      </c>
      <c r="BU35" s="173">
        <v>0</v>
      </c>
      <c r="BV35" s="174">
        <f t="shared" si="49"/>
        <v>0</v>
      </c>
      <c r="BW35" s="208">
        <f>+BV35/BV51</f>
        <v>0</v>
      </c>
      <c r="BX35" s="90">
        <v>0</v>
      </c>
      <c r="BY35" s="258">
        <f t="shared" si="11"/>
        <v>41563.5</v>
      </c>
      <c r="BZ35" s="121" t="s">
        <v>102</v>
      </c>
      <c r="CA35" s="277"/>
      <c r="CB35" s="38">
        <f t="shared" si="58"/>
        <v>0</v>
      </c>
      <c r="CC35" s="85">
        <f t="shared" si="62"/>
        <v>41563.5</v>
      </c>
      <c r="CD35" s="203">
        <f>+CC35/CA24</f>
        <v>0.1038568215892054</v>
      </c>
      <c r="CE35" s="172">
        <v>0</v>
      </c>
      <c r="CF35" s="173">
        <v>0</v>
      </c>
      <c r="CG35" s="174">
        <f t="shared" si="59"/>
        <v>0</v>
      </c>
      <c r="CH35" s="208">
        <f>+CG35/CG51</f>
        <v>0</v>
      </c>
      <c r="CI35" s="90">
        <v>0</v>
      </c>
      <c r="CJ35" s="258">
        <f t="shared" si="60"/>
        <v>41563.5</v>
      </c>
      <c r="CK35" s="121" t="s">
        <v>102</v>
      </c>
      <c r="CL35" s="277"/>
      <c r="CM35" s="38">
        <f t="shared" si="63"/>
        <v>17830</v>
      </c>
      <c r="CN35" s="85">
        <f t="shared" si="18"/>
        <v>59393.5</v>
      </c>
      <c r="CO35" s="203">
        <f>+CN35/CL24</f>
        <v>0.1484095452273863</v>
      </c>
      <c r="CP35" s="172">
        <v>0</v>
      </c>
      <c r="CQ35" s="173">
        <v>0</v>
      </c>
      <c r="CR35" s="174">
        <f t="shared" si="20"/>
        <v>0</v>
      </c>
      <c r="CS35" s="208">
        <f>+CR35/CR51</f>
        <v>0</v>
      </c>
      <c r="CT35" s="90">
        <v>17830</v>
      </c>
      <c r="CU35" s="258">
        <f t="shared" si="21"/>
        <v>59393.5</v>
      </c>
      <c r="CV35" s="121" t="s">
        <v>102</v>
      </c>
      <c r="CW35" s="277"/>
      <c r="CX35" s="38">
        <f t="shared" si="22"/>
        <v>0</v>
      </c>
      <c r="CY35" s="85">
        <f t="shared" si="23"/>
        <v>59393.5</v>
      </c>
      <c r="CZ35" s="203">
        <f>+CY35/CW24</f>
        <v>0.1484095452273863</v>
      </c>
      <c r="DA35" s="172">
        <v>0</v>
      </c>
      <c r="DB35" s="173">
        <v>0</v>
      </c>
      <c r="DC35" s="174">
        <f t="shared" si="25"/>
        <v>0</v>
      </c>
      <c r="DD35" s="208">
        <f>+DC35/DC51</f>
        <v>0</v>
      </c>
      <c r="DE35" s="90">
        <v>0</v>
      </c>
      <c r="DF35" s="258">
        <f t="shared" si="26"/>
        <v>59393.5</v>
      </c>
      <c r="DG35" s="121" t="s">
        <v>102</v>
      </c>
      <c r="DH35" s="277"/>
      <c r="DI35" s="283">
        <v>5231</v>
      </c>
      <c r="DJ35" s="85">
        <f t="shared" si="53"/>
        <v>64624.5</v>
      </c>
      <c r="DK35" s="203">
        <f>+DJ35/DH24</f>
        <v>0.16148050974512743</v>
      </c>
      <c r="DL35" s="172">
        <v>0</v>
      </c>
      <c r="DM35" s="173">
        <v>0</v>
      </c>
      <c r="DN35" s="174">
        <f t="shared" si="28"/>
        <v>0</v>
      </c>
      <c r="DO35" s="208">
        <f>+DN35/DN51</f>
        <v>0</v>
      </c>
      <c r="DP35" s="90">
        <f>DI35</f>
        <v>5231</v>
      </c>
      <c r="DQ35" s="258">
        <f t="shared" si="50"/>
        <v>64624.5</v>
      </c>
    </row>
    <row r="36" spans="1:121" ht="23.25" customHeight="1">
      <c r="A36" s="121" t="s">
        <v>103</v>
      </c>
      <c r="B36" s="325"/>
      <c r="C36" s="38">
        <f t="shared" si="29"/>
        <v>0</v>
      </c>
      <c r="D36" s="85">
        <f t="shared" si="30"/>
        <v>0</v>
      </c>
      <c r="E36" s="203">
        <f>+D36/B24</f>
        <v>0</v>
      </c>
      <c r="F36" s="172">
        <v>0</v>
      </c>
      <c r="G36" s="173">
        <v>0</v>
      </c>
      <c r="H36" s="174">
        <f t="shared" si="31"/>
        <v>0</v>
      </c>
      <c r="I36" s="208">
        <f>+H36/H51</f>
        <v>0</v>
      </c>
      <c r="J36" s="90">
        <v>0</v>
      </c>
      <c r="K36" s="85">
        <f t="shared" si="32"/>
        <v>0</v>
      </c>
      <c r="L36" s="121" t="s">
        <v>103</v>
      </c>
      <c r="M36" s="325"/>
      <c r="N36" s="38">
        <f t="shared" si="33"/>
        <v>0</v>
      </c>
      <c r="O36" s="85">
        <f t="shared" si="34"/>
        <v>0</v>
      </c>
      <c r="P36" s="203">
        <f>+O36/M24</f>
        <v>0</v>
      </c>
      <c r="Q36" s="172">
        <v>0</v>
      </c>
      <c r="R36" s="173">
        <v>0</v>
      </c>
      <c r="S36" s="174">
        <f t="shared" si="35"/>
        <v>0</v>
      </c>
      <c r="T36" s="208">
        <f>+S36/S51</f>
        <v>0</v>
      </c>
      <c r="U36" s="90">
        <v>0</v>
      </c>
      <c r="V36" s="85">
        <f t="shared" si="36"/>
        <v>0</v>
      </c>
      <c r="W36" s="121" t="s">
        <v>103</v>
      </c>
      <c r="X36" s="325"/>
      <c r="Y36" s="38">
        <f t="shared" si="37"/>
        <v>0</v>
      </c>
      <c r="Z36" s="85">
        <f t="shared" si="38"/>
        <v>0</v>
      </c>
      <c r="AA36" s="203">
        <f>+Z36/X24</f>
        <v>0</v>
      </c>
      <c r="AB36" s="172">
        <v>0</v>
      </c>
      <c r="AC36" s="173">
        <v>0</v>
      </c>
      <c r="AD36" s="174">
        <f t="shared" si="39"/>
        <v>0</v>
      </c>
      <c r="AE36" s="208">
        <f>+AD36/AD51</f>
        <v>0</v>
      </c>
      <c r="AF36" s="90">
        <v>0</v>
      </c>
      <c r="AG36" s="85">
        <f t="shared" si="40"/>
        <v>0</v>
      </c>
      <c r="AH36" s="121" t="s">
        <v>103</v>
      </c>
      <c r="AI36" s="325"/>
      <c r="AJ36" s="38">
        <f t="shared" si="41"/>
        <v>0</v>
      </c>
      <c r="AK36" s="85">
        <f t="shared" si="42"/>
        <v>0</v>
      </c>
      <c r="AL36" s="203">
        <f>+AK36/AI24</f>
        <v>0</v>
      </c>
      <c r="AM36" s="172">
        <v>0</v>
      </c>
      <c r="AN36" s="173">
        <v>0</v>
      </c>
      <c r="AO36" s="174">
        <f t="shared" si="43"/>
        <v>0</v>
      </c>
      <c r="AP36" s="208">
        <f>+AO36/AO51</f>
        <v>0</v>
      </c>
      <c r="AQ36" s="90">
        <v>0</v>
      </c>
      <c r="AR36" s="85">
        <f t="shared" si="44"/>
        <v>0</v>
      </c>
      <c r="AS36" s="121" t="s">
        <v>103</v>
      </c>
      <c r="AT36" s="325"/>
      <c r="AU36" s="38">
        <f t="shared" si="45"/>
        <v>0</v>
      </c>
      <c r="AV36" s="85">
        <f t="shared" si="46"/>
        <v>0</v>
      </c>
      <c r="AW36" s="203">
        <f>+AV36/AT24</f>
        <v>0</v>
      </c>
      <c r="AX36" s="172">
        <v>0</v>
      </c>
      <c r="AY36" s="173">
        <v>0</v>
      </c>
      <c r="AZ36" s="174">
        <f t="shared" si="47"/>
        <v>0</v>
      </c>
      <c r="BA36" s="208">
        <f>+AZ36/AZ51</f>
        <v>0</v>
      </c>
      <c r="BB36" s="90">
        <v>0</v>
      </c>
      <c r="BC36" s="258">
        <f t="shared" si="51"/>
        <v>0</v>
      </c>
      <c r="BD36" s="121" t="s">
        <v>103</v>
      </c>
      <c r="BE36" s="277"/>
      <c r="BF36" s="38">
        <f t="shared" si="56"/>
        <v>0</v>
      </c>
      <c r="BG36" s="85">
        <f t="shared" si="54"/>
        <v>0</v>
      </c>
      <c r="BH36" s="203">
        <f>+BG36/BE24</f>
        <v>0</v>
      </c>
      <c r="BI36" s="172">
        <v>0</v>
      </c>
      <c r="BJ36" s="173">
        <v>0</v>
      </c>
      <c r="BK36" s="174">
        <f t="shared" si="48"/>
        <v>0</v>
      </c>
      <c r="BL36" s="208">
        <f>+BK36/BK51</f>
        <v>0</v>
      </c>
      <c r="BM36" s="90">
        <v>0</v>
      </c>
      <c r="BN36" s="258">
        <f t="shared" si="61"/>
        <v>0</v>
      </c>
      <c r="BO36" s="121" t="s">
        <v>103</v>
      </c>
      <c r="BP36" s="277"/>
      <c r="BQ36" s="38">
        <f t="shared" si="57"/>
        <v>0</v>
      </c>
      <c r="BR36" s="85">
        <f t="shared" si="9"/>
        <v>0</v>
      </c>
      <c r="BS36" s="203">
        <f>+BR36/BP24</f>
        <v>0</v>
      </c>
      <c r="BT36" s="172">
        <v>0</v>
      </c>
      <c r="BU36" s="173">
        <v>0</v>
      </c>
      <c r="BV36" s="174">
        <f t="shared" si="49"/>
        <v>0</v>
      </c>
      <c r="BW36" s="208">
        <f>+BV36/BV51</f>
        <v>0</v>
      </c>
      <c r="BX36" s="90">
        <v>0</v>
      </c>
      <c r="BY36" s="258">
        <f t="shared" si="11"/>
        <v>0</v>
      </c>
      <c r="BZ36" s="121" t="s">
        <v>103</v>
      </c>
      <c r="CA36" s="277"/>
      <c r="CB36" s="38">
        <f t="shared" si="58"/>
        <v>0</v>
      </c>
      <c r="CC36" s="85">
        <f t="shared" si="62"/>
        <v>0</v>
      </c>
      <c r="CD36" s="203">
        <f>+CC36/CA24</f>
        <v>0</v>
      </c>
      <c r="CE36" s="172">
        <v>0</v>
      </c>
      <c r="CF36" s="173">
        <v>0</v>
      </c>
      <c r="CG36" s="174">
        <f t="shared" si="59"/>
        <v>0</v>
      </c>
      <c r="CH36" s="208">
        <f>+CG36/CG51</f>
        <v>0</v>
      </c>
      <c r="CI36" s="90">
        <v>0</v>
      </c>
      <c r="CJ36" s="258">
        <f t="shared" si="60"/>
        <v>0</v>
      </c>
      <c r="CK36" s="121" t="s">
        <v>103</v>
      </c>
      <c r="CL36" s="277"/>
      <c r="CM36" s="38">
        <f t="shared" si="63"/>
        <v>0</v>
      </c>
      <c r="CN36" s="85">
        <f t="shared" si="18"/>
        <v>0</v>
      </c>
      <c r="CO36" s="203">
        <f>+CN36/CL24</f>
        <v>0</v>
      </c>
      <c r="CP36" s="172">
        <v>0</v>
      </c>
      <c r="CQ36" s="173">
        <v>0</v>
      </c>
      <c r="CR36" s="174">
        <f t="shared" si="20"/>
        <v>0</v>
      </c>
      <c r="CS36" s="208">
        <f>+CR36/CR51</f>
        <v>0</v>
      </c>
      <c r="CT36" s="90">
        <v>0</v>
      </c>
      <c r="CU36" s="258">
        <f t="shared" si="21"/>
        <v>0</v>
      </c>
      <c r="CV36" s="121" t="s">
        <v>103</v>
      </c>
      <c r="CW36" s="277"/>
      <c r="CX36" s="38">
        <f t="shared" si="22"/>
        <v>0</v>
      </c>
      <c r="CY36" s="85">
        <f t="shared" si="23"/>
        <v>0</v>
      </c>
      <c r="CZ36" s="203">
        <f>+CY36/CW24</f>
        <v>0</v>
      </c>
      <c r="DA36" s="172">
        <v>0</v>
      </c>
      <c r="DB36" s="173">
        <v>0</v>
      </c>
      <c r="DC36" s="174">
        <f t="shared" si="25"/>
        <v>0</v>
      </c>
      <c r="DD36" s="208">
        <f>+DC36/DC51</f>
        <v>0</v>
      </c>
      <c r="DE36" s="90">
        <v>0</v>
      </c>
      <c r="DF36" s="258">
        <f t="shared" si="26"/>
        <v>0</v>
      </c>
      <c r="DG36" s="121" t="s">
        <v>103</v>
      </c>
      <c r="DH36" s="277"/>
      <c r="DI36" s="283">
        <f t="shared" si="52"/>
        <v>0</v>
      </c>
      <c r="DJ36" s="85">
        <f t="shared" si="53"/>
        <v>0</v>
      </c>
      <c r="DK36" s="203">
        <f>+DJ36/DH24</f>
        <v>0</v>
      </c>
      <c r="DL36" s="172">
        <v>0</v>
      </c>
      <c r="DM36" s="173">
        <v>0</v>
      </c>
      <c r="DN36" s="174">
        <f t="shared" si="28"/>
        <v>0</v>
      </c>
      <c r="DO36" s="208">
        <f>+DN36/DN51</f>
        <v>0</v>
      </c>
      <c r="DP36" s="90">
        <v>0</v>
      </c>
      <c r="DQ36" s="258">
        <f t="shared" si="50"/>
        <v>0</v>
      </c>
    </row>
    <row r="37" spans="1:121" ht="23.25" customHeight="1">
      <c r="A37" s="121" t="s">
        <v>92</v>
      </c>
      <c r="B37" s="325"/>
      <c r="C37" s="38">
        <f t="shared" si="29"/>
        <v>0</v>
      </c>
      <c r="D37" s="85">
        <f t="shared" si="30"/>
        <v>0</v>
      </c>
      <c r="E37" s="203">
        <v>0</v>
      </c>
      <c r="F37" s="172">
        <v>0</v>
      </c>
      <c r="G37" s="173">
        <v>0</v>
      </c>
      <c r="H37" s="174">
        <f t="shared" si="31"/>
        <v>0</v>
      </c>
      <c r="I37" s="208">
        <f>+H37/H51</f>
        <v>0</v>
      </c>
      <c r="J37" s="90">
        <v>0</v>
      </c>
      <c r="K37" s="85">
        <f t="shared" si="32"/>
        <v>0</v>
      </c>
      <c r="L37" s="121" t="s">
        <v>92</v>
      </c>
      <c r="M37" s="325"/>
      <c r="N37" s="38">
        <f t="shared" si="33"/>
        <v>0</v>
      </c>
      <c r="O37" s="85">
        <f t="shared" si="34"/>
        <v>0</v>
      </c>
      <c r="P37" s="203">
        <v>0</v>
      </c>
      <c r="Q37" s="172">
        <v>0</v>
      </c>
      <c r="R37" s="173">
        <v>0</v>
      </c>
      <c r="S37" s="174">
        <f t="shared" si="35"/>
        <v>0</v>
      </c>
      <c r="T37" s="208">
        <f>+S37/S51</f>
        <v>0</v>
      </c>
      <c r="U37" s="90">
        <v>0</v>
      </c>
      <c r="V37" s="85">
        <f t="shared" si="36"/>
        <v>0</v>
      </c>
      <c r="W37" s="121" t="s">
        <v>92</v>
      </c>
      <c r="X37" s="325"/>
      <c r="Y37" s="38">
        <f t="shared" si="37"/>
        <v>0</v>
      </c>
      <c r="Z37" s="85">
        <f t="shared" si="38"/>
        <v>0</v>
      </c>
      <c r="AA37" s="203">
        <v>0</v>
      </c>
      <c r="AB37" s="172">
        <v>0</v>
      </c>
      <c r="AC37" s="173">
        <v>0</v>
      </c>
      <c r="AD37" s="174">
        <f t="shared" si="39"/>
        <v>0</v>
      </c>
      <c r="AE37" s="208">
        <f>+AD37/AD51</f>
        <v>0</v>
      </c>
      <c r="AF37" s="90">
        <v>0</v>
      </c>
      <c r="AG37" s="85">
        <f t="shared" si="40"/>
        <v>0</v>
      </c>
      <c r="AH37" s="121" t="s">
        <v>92</v>
      </c>
      <c r="AI37" s="325"/>
      <c r="AJ37" s="38">
        <f t="shared" si="41"/>
        <v>0</v>
      </c>
      <c r="AK37" s="85">
        <f t="shared" si="42"/>
        <v>0</v>
      </c>
      <c r="AL37" s="203">
        <v>0</v>
      </c>
      <c r="AM37" s="172">
        <v>0</v>
      </c>
      <c r="AN37" s="173">
        <v>0</v>
      </c>
      <c r="AO37" s="174">
        <f t="shared" si="43"/>
        <v>0</v>
      </c>
      <c r="AP37" s="208">
        <f>+AO37/AO51</f>
        <v>0</v>
      </c>
      <c r="AQ37" s="90">
        <v>0</v>
      </c>
      <c r="AR37" s="85">
        <f t="shared" si="44"/>
        <v>0</v>
      </c>
      <c r="AS37" s="121" t="s">
        <v>92</v>
      </c>
      <c r="AT37" s="325"/>
      <c r="AU37" s="38">
        <f t="shared" si="45"/>
        <v>0</v>
      </c>
      <c r="AV37" s="85">
        <f t="shared" si="46"/>
        <v>0</v>
      </c>
      <c r="AW37" s="203">
        <v>0</v>
      </c>
      <c r="AX37" s="172">
        <v>0</v>
      </c>
      <c r="AY37" s="173">
        <v>0</v>
      </c>
      <c r="AZ37" s="174">
        <f t="shared" si="47"/>
        <v>0</v>
      </c>
      <c r="BA37" s="208">
        <f>+AZ37/AZ51</f>
        <v>0</v>
      </c>
      <c r="BB37" s="90">
        <v>0</v>
      </c>
      <c r="BC37" s="258">
        <f t="shared" si="51"/>
        <v>0</v>
      </c>
      <c r="BD37" s="121" t="s">
        <v>92</v>
      </c>
      <c r="BE37" s="277"/>
      <c r="BF37" s="38">
        <f t="shared" si="56"/>
        <v>0</v>
      </c>
      <c r="BG37" s="85">
        <f t="shared" si="54"/>
        <v>0</v>
      </c>
      <c r="BH37" s="203">
        <v>0</v>
      </c>
      <c r="BI37" s="172">
        <v>0</v>
      </c>
      <c r="BJ37" s="173">
        <v>0</v>
      </c>
      <c r="BK37" s="174">
        <f t="shared" si="48"/>
        <v>0</v>
      </c>
      <c r="BL37" s="208">
        <f>+BK37/BK51</f>
        <v>0</v>
      </c>
      <c r="BM37" s="90">
        <v>0</v>
      </c>
      <c r="BN37" s="258">
        <f t="shared" si="61"/>
        <v>0</v>
      </c>
      <c r="BO37" s="121" t="s">
        <v>92</v>
      </c>
      <c r="BP37" s="277"/>
      <c r="BQ37" s="38">
        <f t="shared" si="57"/>
        <v>0</v>
      </c>
      <c r="BR37" s="85">
        <f t="shared" si="9"/>
        <v>0</v>
      </c>
      <c r="BS37" s="203">
        <v>0</v>
      </c>
      <c r="BT37" s="172">
        <v>0</v>
      </c>
      <c r="BU37" s="173">
        <v>0</v>
      </c>
      <c r="BV37" s="174">
        <f t="shared" si="49"/>
        <v>0</v>
      </c>
      <c r="BW37" s="208">
        <f>+BV37/BV51</f>
        <v>0</v>
      </c>
      <c r="BX37" s="90">
        <v>0</v>
      </c>
      <c r="BY37" s="258">
        <f t="shared" si="11"/>
        <v>0</v>
      </c>
      <c r="BZ37" s="121" t="s">
        <v>92</v>
      </c>
      <c r="CA37" s="277"/>
      <c r="CB37" s="38">
        <f t="shared" si="58"/>
        <v>0</v>
      </c>
      <c r="CC37" s="85">
        <f t="shared" si="62"/>
        <v>0</v>
      </c>
      <c r="CD37" s="203">
        <v>0</v>
      </c>
      <c r="CE37" s="172">
        <v>0</v>
      </c>
      <c r="CF37" s="173">
        <v>0</v>
      </c>
      <c r="CG37" s="174">
        <f t="shared" si="59"/>
        <v>0</v>
      </c>
      <c r="CH37" s="208">
        <f>+CG37/CG51</f>
        <v>0</v>
      </c>
      <c r="CI37" s="90">
        <v>0</v>
      </c>
      <c r="CJ37" s="258">
        <f t="shared" si="60"/>
        <v>0</v>
      </c>
      <c r="CK37" s="121" t="s">
        <v>92</v>
      </c>
      <c r="CL37" s="277"/>
      <c r="CM37" s="38">
        <f t="shared" si="63"/>
        <v>0</v>
      </c>
      <c r="CN37" s="85">
        <f t="shared" si="18"/>
        <v>0</v>
      </c>
      <c r="CO37" s="203">
        <v>0</v>
      </c>
      <c r="CP37" s="172">
        <v>0</v>
      </c>
      <c r="CQ37" s="173">
        <v>0</v>
      </c>
      <c r="CR37" s="174">
        <f t="shared" si="20"/>
        <v>0</v>
      </c>
      <c r="CS37" s="208">
        <f>+CR37/CR51</f>
        <v>0</v>
      </c>
      <c r="CT37" s="90">
        <v>0</v>
      </c>
      <c r="CU37" s="258">
        <f t="shared" si="21"/>
        <v>0</v>
      </c>
      <c r="CV37" s="121" t="s">
        <v>92</v>
      </c>
      <c r="CW37" s="277"/>
      <c r="CX37" s="38">
        <f t="shared" si="22"/>
        <v>0</v>
      </c>
      <c r="CY37" s="85">
        <f t="shared" si="23"/>
        <v>0</v>
      </c>
      <c r="CZ37" s="203">
        <v>0</v>
      </c>
      <c r="DA37" s="172">
        <v>0</v>
      </c>
      <c r="DB37" s="173">
        <v>0</v>
      </c>
      <c r="DC37" s="174">
        <f t="shared" si="25"/>
        <v>0</v>
      </c>
      <c r="DD37" s="208">
        <f>+DC37/DC51</f>
        <v>0</v>
      </c>
      <c r="DE37" s="90">
        <v>0</v>
      </c>
      <c r="DF37" s="258">
        <f t="shared" si="26"/>
        <v>0</v>
      </c>
      <c r="DG37" s="121" t="s">
        <v>92</v>
      </c>
      <c r="DH37" s="277"/>
      <c r="DI37" s="283">
        <f t="shared" si="52"/>
        <v>0</v>
      </c>
      <c r="DJ37" s="85">
        <f t="shared" si="53"/>
        <v>0</v>
      </c>
      <c r="DK37" s="203">
        <v>0</v>
      </c>
      <c r="DL37" s="172">
        <v>0</v>
      </c>
      <c r="DM37" s="173">
        <v>0</v>
      </c>
      <c r="DN37" s="174">
        <f t="shared" si="28"/>
        <v>0</v>
      </c>
      <c r="DO37" s="208">
        <f>+DN37/DN51</f>
        <v>0</v>
      </c>
      <c r="DP37" s="90">
        <v>0</v>
      </c>
      <c r="DQ37" s="258">
        <f t="shared" si="50"/>
        <v>0</v>
      </c>
    </row>
    <row r="38" spans="1:121" ht="23.25" customHeight="1">
      <c r="A38" s="121" t="s">
        <v>104</v>
      </c>
      <c r="B38" s="325"/>
      <c r="C38" s="38">
        <f t="shared" si="29"/>
        <v>2343</v>
      </c>
      <c r="D38" s="85">
        <f t="shared" si="30"/>
        <v>2343</v>
      </c>
      <c r="E38" s="203">
        <f>+D38/B24</f>
        <v>0.0007314807455894888</v>
      </c>
      <c r="F38" s="172">
        <v>0</v>
      </c>
      <c r="G38" s="173">
        <v>0</v>
      </c>
      <c r="H38" s="174">
        <f t="shared" si="31"/>
        <v>0</v>
      </c>
      <c r="I38" s="208">
        <f>+H38/H51</f>
        <v>0</v>
      </c>
      <c r="J38" s="90">
        <v>2343</v>
      </c>
      <c r="K38" s="85">
        <f t="shared" si="32"/>
        <v>2343</v>
      </c>
      <c r="L38" s="121" t="s">
        <v>104</v>
      </c>
      <c r="M38" s="325"/>
      <c r="N38" s="38">
        <f t="shared" si="33"/>
        <v>2658</v>
      </c>
      <c r="O38" s="85">
        <f t="shared" si="34"/>
        <v>5001</v>
      </c>
      <c r="P38" s="203">
        <f>+O38/M24</f>
        <v>0.0015613039729803812</v>
      </c>
      <c r="Q38" s="172">
        <v>0</v>
      </c>
      <c r="R38" s="173">
        <v>0</v>
      </c>
      <c r="S38" s="174">
        <f t="shared" si="35"/>
        <v>0</v>
      </c>
      <c r="T38" s="208">
        <f>+S38/S51</f>
        <v>0</v>
      </c>
      <c r="U38" s="90">
        <v>2658</v>
      </c>
      <c r="V38" s="85">
        <f t="shared" si="36"/>
        <v>5001</v>
      </c>
      <c r="W38" s="121" t="s">
        <v>104</v>
      </c>
      <c r="X38" s="325"/>
      <c r="Y38" s="38">
        <f t="shared" si="37"/>
        <v>3590</v>
      </c>
      <c r="Z38" s="85">
        <f t="shared" si="38"/>
        <v>8591</v>
      </c>
      <c r="AA38" s="203">
        <f>+Z38/X24</f>
        <v>0.002682096067161459</v>
      </c>
      <c r="AB38" s="172">
        <v>0</v>
      </c>
      <c r="AC38" s="173">
        <v>0</v>
      </c>
      <c r="AD38" s="174">
        <f t="shared" si="39"/>
        <v>0</v>
      </c>
      <c r="AE38" s="208">
        <f>+AD38/AD51</f>
        <v>0</v>
      </c>
      <c r="AF38" s="90">
        <v>3590</v>
      </c>
      <c r="AG38" s="85">
        <f t="shared" si="40"/>
        <v>8591</v>
      </c>
      <c r="AH38" s="121" t="s">
        <v>104</v>
      </c>
      <c r="AI38" s="325"/>
      <c r="AJ38" s="38">
        <f t="shared" si="41"/>
        <v>2248</v>
      </c>
      <c r="AK38" s="85">
        <f t="shared" si="42"/>
        <v>10839</v>
      </c>
      <c r="AL38" s="203">
        <f>+AK38/AI24</f>
        <v>0.003383917969033064</v>
      </c>
      <c r="AM38" s="172">
        <v>0</v>
      </c>
      <c r="AN38" s="173">
        <v>0</v>
      </c>
      <c r="AO38" s="174">
        <f t="shared" si="43"/>
        <v>0</v>
      </c>
      <c r="AP38" s="208">
        <f>+AO38/AO51</f>
        <v>0</v>
      </c>
      <c r="AQ38" s="90">
        <v>2248</v>
      </c>
      <c r="AR38" s="85">
        <f t="shared" si="44"/>
        <v>10839</v>
      </c>
      <c r="AS38" s="121" t="s">
        <v>104</v>
      </c>
      <c r="AT38" s="325"/>
      <c r="AU38" s="38">
        <f t="shared" si="45"/>
        <v>2533</v>
      </c>
      <c r="AV38" s="85">
        <f t="shared" si="46"/>
        <v>13372</v>
      </c>
      <c r="AW38" s="203">
        <f>+AV38/AT24</f>
        <v>0.03341329335332334</v>
      </c>
      <c r="AX38" s="172">
        <v>0</v>
      </c>
      <c r="AY38" s="173">
        <v>0</v>
      </c>
      <c r="AZ38" s="174">
        <f t="shared" si="47"/>
        <v>0</v>
      </c>
      <c r="BA38" s="208">
        <f>+AZ38/AZ51</f>
        <v>0</v>
      </c>
      <c r="BB38" s="90">
        <v>2533</v>
      </c>
      <c r="BC38" s="258">
        <f t="shared" si="51"/>
        <v>13372</v>
      </c>
      <c r="BD38" s="121" t="s">
        <v>104</v>
      </c>
      <c r="BE38" s="277"/>
      <c r="BF38" s="38">
        <f t="shared" si="56"/>
        <v>1990</v>
      </c>
      <c r="BG38" s="85">
        <f t="shared" si="54"/>
        <v>15362</v>
      </c>
      <c r="BH38" s="203">
        <f>+BG38/BE24</f>
        <v>0.03838580709645177</v>
      </c>
      <c r="BI38" s="172">
        <v>0</v>
      </c>
      <c r="BJ38" s="173">
        <v>0</v>
      </c>
      <c r="BK38" s="174">
        <f t="shared" si="48"/>
        <v>0</v>
      </c>
      <c r="BL38" s="208">
        <f>+BK38/BK51</f>
        <v>0</v>
      </c>
      <c r="BM38" s="90">
        <v>1990</v>
      </c>
      <c r="BN38" s="258">
        <f t="shared" si="61"/>
        <v>15362</v>
      </c>
      <c r="BO38" s="121" t="s">
        <v>104</v>
      </c>
      <c r="BP38" s="277"/>
      <c r="BQ38" s="38">
        <f t="shared" si="57"/>
        <v>1873</v>
      </c>
      <c r="BR38" s="85">
        <f t="shared" si="9"/>
        <v>17235</v>
      </c>
      <c r="BS38" s="203">
        <f>+BR38/BP24</f>
        <v>0.043065967016491756</v>
      </c>
      <c r="BT38" s="172">
        <v>0</v>
      </c>
      <c r="BU38" s="173">
        <v>0</v>
      </c>
      <c r="BV38" s="174">
        <f t="shared" si="49"/>
        <v>0</v>
      </c>
      <c r="BW38" s="208">
        <f>+BV38/BV51</f>
        <v>0</v>
      </c>
      <c r="BX38" s="90">
        <v>1873</v>
      </c>
      <c r="BY38" s="258">
        <f t="shared" si="11"/>
        <v>17235</v>
      </c>
      <c r="BZ38" s="121" t="s">
        <v>104</v>
      </c>
      <c r="CA38" s="277"/>
      <c r="CB38" s="38">
        <f t="shared" si="58"/>
        <v>1945</v>
      </c>
      <c r="CC38" s="85">
        <f t="shared" si="62"/>
        <v>19180</v>
      </c>
      <c r="CD38" s="203">
        <f>+CC38/CA24</f>
        <v>0.04792603698150925</v>
      </c>
      <c r="CE38" s="172">
        <v>0</v>
      </c>
      <c r="CF38" s="173">
        <v>0</v>
      </c>
      <c r="CG38" s="174">
        <f t="shared" si="59"/>
        <v>0</v>
      </c>
      <c r="CH38" s="208">
        <f>+CG38/CG51</f>
        <v>0</v>
      </c>
      <c r="CI38" s="90">
        <v>1945</v>
      </c>
      <c r="CJ38" s="258">
        <f t="shared" si="60"/>
        <v>19180</v>
      </c>
      <c r="CK38" s="121" t="s">
        <v>104</v>
      </c>
      <c r="CL38" s="277"/>
      <c r="CM38" s="38">
        <f t="shared" si="63"/>
        <v>2248</v>
      </c>
      <c r="CN38" s="85">
        <f t="shared" si="18"/>
        <v>21428</v>
      </c>
      <c r="CO38" s="203">
        <f>+CN38/CL24</f>
        <v>0.0535432283858071</v>
      </c>
      <c r="CP38" s="172">
        <v>0</v>
      </c>
      <c r="CQ38" s="173">
        <v>0</v>
      </c>
      <c r="CR38" s="174">
        <f t="shared" si="20"/>
        <v>0</v>
      </c>
      <c r="CS38" s="208">
        <f>+CR38/CR51</f>
        <v>0</v>
      </c>
      <c r="CT38" s="90">
        <v>2248</v>
      </c>
      <c r="CU38" s="258">
        <f t="shared" si="21"/>
        <v>21428</v>
      </c>
      <c r="CV38" s="121" t="s">
        <v>104</v>
      </c>
      <c r="CW38" s="277"/>
      <c r="CX38" s="38">
        <f t="shared" si="22"/>
        <v>2425</v>
      </c>
      <c r="CY38" s="85">
        <f t="shared" si="23"/>
        <v>23853</v>
      </c>
      <c r="CZ38" s="203">
        <f>+CY38/CW24</f>
        <v>0.05960269865067466</v>
      </c>
      <c r="DA38" s="172">
        <v>0</v>
      </c>
      <c r="DB38" s="173">
        <v>0</v>
      </c>
      <c r="DC38" s="174">
        <f t="shared" si="25"/>
        <v>0</v>
      </c>
      <c r="DD38" s="208">
        <f>+DC38/DC51</f>
        <v>0</v>
      </c>
      <c r="DE38" s="90">
        <v>2425</v>
      </c>
      <c r="DF38" s="258">
        <f t="shared" si="26"/>
        <v>23853</v>
      </c>
      <c r="DG38" s="121" t="s">
        <v>104</v>
      </c>
      <c r="DH38" s="277"/>
      <c r="DI38" s="283">
        <v>2760</v>
      </c>
      <c r="DJ38" s="85">
        <f t="shared" si="53"/>
        <v>26613</v>
      </c>
      <c r="DK38" s="203">
        <f>+DJ38/DH24</f>
        <v>0.0664992503748126</v>
      </c>
      <c r="DL38" s="172">
        <v>0</v>
      </c>
      <c r="DM38" s="173">
        <v>0</v>
      </c>
      <c r="DN38" s="174">
        <f t="shared" si="28"/>
        <v>0</v>
      </c>
      <c r="DO38" s="208">
        <f>+DN38/DN51</f>
        <v>0</v>
      </c>
      <c r="DP38" s="90">
        <f>DI38</f>
        <v>2760</v>
      </c>
      <c r="DQ38" s="258">
        <f t="shared" si="50"/>
        <v>26613</v>
      </c>
    </row>
    <row r="39" spans="1:121" ht="23.25" customHeight="1">
      <c r="A39" s="121" t="s">
        <v>107</v>
      </c>
      <c r="B39" s="325"/>
      <c r="C39" s="38">
        <f t="shared" si="29"/>
        <v>0</v>
      </c>
      <c r="D39" s="85">
        <f t="shared" si="30"/>
        <v>0</v>
      </c>
      <c r="E39" s="203">
        <f>+D39/B24</f>
        <v>0</v>
      </c>
      <c r="F39" s="175">
        <v>0</v>
      </c>
      <c r="G39" s="176">
        <v>0</v>
      </c>
      <c r="H39" s="174">
        <f t="shared" si="31"/>
        <v>0</v>
      </c>
      <c r="I39" s="208">
        <f>+H39/H51</f>
        <v>0</v>
      </c>
      <c r="J39" s="91">
        <v>0</v>
      </c>
      <c r="K39" s="85">
        <f t="shared" si="32"/>
        <v>0</v>
      </c>
      <c r="L39" s="121" t="s">
        <v>107</v>
      </c>
      <c r="M39" s="325"/>
      <c r="N39" s="38">
        <f t="shared" si="33"/>
        <v>1045</v>
      </c>
      <c r="O39" s="85">
        <f t="shared" si="34"/>
        <v>1045</v>
      </c>
      <c r="P39" s="203">
        <f>+O39/M24</f>
        <v>0.0003262472808967203</v>
      </c>
      <c r="Q39" s="175">
        <v>0</v>
      </c>
      <c r="R39" s="176">
        <v>0</v>
      </c>
      <c r="S39" s="174">
        <f t="shared" si="35"/>
        <v>0</v>
      </c>
      <c r="T39" s="208">
        <f>+S39/S51</f>
        <v>0</v>
      </c>
      <c r="U39" s="91">
        <v>1045</v>
      </c>
      <c r="V39" s="85">
        <f t="shared" si="36"/>
        <v>1045</v>
      </c>
      <c r="W39" s="121" t="s">
        <v>107</v>
      </c>
      <c r="X39" s="325"/>
      <c r="Y39" s="38">
        <f t="shared" si="37"/>
        <v>0</v>
      </c>
      <c r="Z39" s="85">
        <f t="shared" si="38"/>
        <v>1045</v>
      </c>
      <c r="AA39" s="203">
        <f>+Z39/X24</f>
        <v>0.0003262472808967203</v>
      </c>
      <c r="AB39" s="175">
        <v>0</v>
      </c>
      <c r="AC39" s="176">
        <v>0</v>
      </c>
      <c r="AD39" s="174">
        <f t="shared" si="39"/>
        <v>0</v>
      </c>
      <c r="AE39" s="208">
        <f>+AD39/AD51</f>
        <v>0</v>
      </c>
      <c r="AF39" s="91">
        <v>0</v>
      </c>
      <c r="AG39" s="85">
        <f t="shared" si="40"/>
        <v>1045</v>
      </c>
      <c r="AH39" s="121" t="s">
        <v>107</v>
      </c>
      <c r="AI39" s="325"/>
      <c r="AJ39" s="38">
        <f t="shared" si="41"/>
        <v>0</v>
      </c>
      <c r="AK39" s="85">
        <f t="shared" si="42"/>
        <v>1045</v>
      </c>
      <c r="AL39" s="203">
        <f>+AK39/AI24</f>
        <v>0.0003262472808967203</v>
      </c>
      <c r="AM39" s="175">
        <v>0</v>
      </c>
      <c r="AN39" s="176">
        <v>0</v>
      </c>
      <c r="AO39" s="174">
        <f t="shared" si="43"/>
        <v>0</v>
      </c>
      <c r="AP39" s="208">
        <f>+AO39/AO51</f>
        <v>0</v>
      </c>
      <c r="AQ39" s="91">
        <v>0</v>
      </c>
      <c r="AR39" s="85">
        <f t="shared" si="44"/>
        <v>1045</v>
      </c>
      <c r="AS39" s="121" t="s">
        <v>107</v>
      </c>
      <c r="AT39" s="325"/>
      <c r="AU39" s="38">
        <f t="shared" si="45"/>
        <v>0</v>
      </c>
      <c r="AV39" s="85">
        <f t="shared" si="46"/>
        <v>1045</v>
      </c>
      <c r="AW39" s="203">
        <f>+AV39/AT24</f>
        <v>0.0026111944027986007</v>
      </c>
      <c r="AX39" s="175">
        <v>0</v>
      </c>
      <c r="AY39" s="176">
        <v>0</v>
      </c>
      <c r="AZ39" s="174">
        <f t="shared" si="47"/>
        <v>0</v>
      </c>
      <c r="BA39" s="208">
        <f>+AZ39/AZ51</f>
        <v>0</v>
      </c>
      <c r="BB39" s="91">
        <v>0</v>
      </c>
      <c r="BC39" s="258">
        <f t="shared" si="51"/>
        <v>1045</v>
      </c>
      <c r="BD39" s="121" t="s">
        <v>107</v>
      </c>
      <c r="BE39" s="277"/>
      <c r="BF39" s="38">
        <f t="shared" si="56"/>
        <v>0</v>
      </c>
      <c r="BG39" s="85">
        <f t="shared" si="54"/>
        <v>1045</v>
      </c>
      <c r="BH39" s="203">
        <f>+BG39/BE24</f>
        <v>0.0026111944027986007</v>
      </c>
      <c r="BI39" s="175">
        <v>0</v>
      </c>
      <c r="BJ39" s="176">
        <v>0</v>
      </c>
      <c r="BK39" s="174">
        <f t="shared" si="48"/>
        <v>0</v>
      </c>
      <c r="BL39" s="208">
        <f>+BK39/BK51</f>
        <v>0</v>
      </c>
      <c r="BM39" s="91">
        <v>0</v>
      </c>
      <c r="BN39" s="258">
        <f t="shared" si="61"/>
        <v>1045</v>
      </c>
      <c r="BO39" s="121" t="s">
        <v>107</v>
      </c>
      <c r="BP39" s="277"/>
      <c r="BQ39" s="38">
        <f t="shared" si="57"/>
        <v>0</v>
      </c>
      <c r="BR39" s="85">
        <f t="shared" si="9"/>
        <v>1045</v>
      </c>
      <c r="BS39" s="203">
        <f>+BR39/BP24</f>
        <v>0.0026111944027986007</v>
      </c>
      <c r="BT39" s="175">
        <v>0</v>
      </c>
      <c r="BU39" s="176">
        <v>0</v>
      </c>
      <c r="BV39" s="174">
        <f t="shared" si="49"/>
        <v>0</v>
      </c>
      <c r="BW39" s="208">
        <f>+BV39/BV51</f>
        <v>0</v>
      </c>
      <c r="BX39" s="91">
        <v>0</v>
      </c>
      <c r="BY39" s="258">
        <f t="shared" si="11"/>
        <v>1045</v>
      </c>
      <c r="BZ39" s="121" t="s">
        <v>107</v>
      </c>
      <c r="CA39" s="277"/>
      <c r="CB39" s="38">
        <f t="shared" si="58"/>
        <v>0</v>
      </c>
      <c r="CC39" s="85">
        <f t="shared" si="62"/>
        <v>1045</v>
      </c>
      <c r="CD39" s="203">
        <f>+CC39/CA24</f>
        <v>0.0026111944027986007</v>
      </c>
      <c r="CE39" s="175">
        <v>0</v>
      </c>
      <c r="CF39" s="176">
        <v>0</v>
      </c>
      <c r="CG39" s="174">
        <f t="shared" si="59"/>
        <v>0</v>
      </c>
      <c r="CH39" s="208">
        <f>+CG39/CG51</f>
        <v>0</v>
      </c>
      <c r="CI39" s="91">
        <v>0</v>
      </c>
      <c r="CJ39" s="258">
        <f t="shared" si="60"/>
        <v>1045</v>
      </c>
      <c r="CK39" s="121" t="s">
        <v>107</v>
      </c>
      <c r="CL39" s="277"/>
      <c r="CM39" s="38">
        <f t="shared" si="63"/>
        <v>0</v>
      </c>
      <c r="CN39" s="85">
        <f t="shared" si="18"/>
        <v>1045</v>
      </c>
      <c r="CO39" s="203">
        <f>+CN39/CL24</f>
        <v>0.0026111944027986007</v>
      </c>
      <c r="CP39" s="175">
        <v>0</v>
      </c>
      <c r="CQ39" s="176">
        <v>0</v>
      </c>
      <c r="CR39" s="174">
        <f t="shared" si="20"/>
        <v>0</v>
      </c>
      <c r="CS39" s="208">
        <f>+CR39/CR51</f>
        <v>0</v>
      </c>
      <c r="CT39" s="91">
        <v>0</v>
      </c>
      <c r="CU39" s="258">
        <f t="shared" si="21"/>
        <v>1045</v>
      </c>
      <c r="CV39" s="121" t="s">
        <v>107</v>
      </c>
      <c r="CW39" s="277"/>
      <c r="CX39" s="38">
        <f t="shared" si="22"/>
        <v>0</v>
      </c>
      <c r="CY39" s="85">
        <f t="shared" si="23"/>
        <v>1045</v>
      </c>
      <c r="CZ39" s="203">
        <f>+CY39/CW24</f>
        <v>0.0026111944027986007</v>
      </c>
      <c r="DA39" s="175">
        <v>0</v>
      </c>
      <c r="DB39" s="176">
        <v>0</v>
      </c>
      <c r="DC39" s="174">
        <f t="shared" si="25"/>
        <v>0</v>
      </c>
      <c r="DD39" s="208">
        <f>+DC39/DC51</f>
        <v>0</v>
      </c>
      <c r="DE39" s="91">
        <v>0</v>
      </c>
      <c r="DF39" s="258">
        <f t="shared" si="26"/>
        <v>1045</v>
      </c>
      <c r="DG39" s="121" t="s">
        <v>107</v>
      </c>
      <c r="DH39" s="277"/>
      <c r="DI39" s="283">
        <f t="shared" si="52"/>
        <v>0</v>
      </c>
      <c r="DJ39" s="85">
        <f t="shared" si="53"/>
        <v>1045</v>
      </c>
      <c r="DK39" s="203">
        <f>+DJ39/DH24</f>
        <v>0.0026111944027986007</v>
      </c>
      <c r="DL39" s="175">
        <v>0</v>
      </c>
      <c r="DM39" s="176">
        <v>0</v>
      </c>
      <c r="DN39" s="174">
        <f t="shared" si="28"/>
        <v>0</v>
      </c>
      <c r="DO39" s="208">
        <f>+DN39/DN51</f>
        <v>0</v>
      </c>
      <c r="DP39" s="91">
        <v>0</v>
      </c>
      <c r="DQ39" s="258">
        <f t="shared" si="50"/>
        <v>1045</v>
      </c>
    </row>
    <row r="40" spans="1:121" ht="23.25" customHeight="1">
      <c r="A40" s="121" t="s">
        <v>108</v>
      </c>
      <c r="B40" s="325"/>
      <c r="C40" s="38">
        <f t="shared" si="29"/>
        <v>531</v>
      </c>
      <c r="D40" s="85">
        <f t="shared" si="30"/>
        <v>531</v>
      </c>
      <c r="E40" s="203">
        <f>+D40/B24</f>
        <v>0.00016577732646522343</v>
      </c>
      <c r="F40" s="175">
        <v>19500</v>
      </c>
      <c r="G40" s="176">
        <v>0</v>
      </c>
      <c r="H40" s="174">
        <f t="shared" si="31"/>
        <v>0</v>
      </c>
      <c r="I40" s="222">
        <v>0</v>
      </c>
      <c r="J40" s="91">
        <f>+'[1]งบทดลอง-โปรแกรม61'!$F$257-'[1]งบทดลอง-โปรแกรม61'!$E$257</f>
        <v>531</v>
      </c>
      <c r="K40" s="85">
        <f t="shared" si="32"/>
        <v>531</v>
      </c>
      <c r="L40" s="121" t="s">
        <v>108</v>
      </c>
      <c r="M40" s="325"/>
      <c r="N40" s="38">
        <f t="shared" si="33"/>
        <v>26765</v>
      </c>
      <c r="O40" s="85">
        <f t="shared" si="34"/>
        <v>27296</v>
      </c>
      <c r="P40" s="203">
        <f>+O40/M24</f>
        <v>0.00852176629603529</v>
      </c>
      <c r="Q40" s="175">
        <v>19500</v>
      </c>
      <c r="R40" s="176">
        <v>2776</v>
      </c>
      <c r="S40" s="174">
        <f t="shared" si="35"/>
        <v>2776</v>
      </c>
      <c r="T40" s="222">
        <v>0</v>
      </c>
      <c r="U40" s="91">
        <v>29541</v>
      </c>
      <c r="V40" s="85">
        <f t="shared" si="36"/>
        <v>30072</v>
      </c>
      <c r="W40" s="121" t="s">
        <v>108</v>
      </c>
      <c r="X40" s="325"/>
      <c r="Y40" s="38">
        <f t="shared" si="37"/>
        <v>14700</v>
      </c>
      <c r="Z40" s="85">
        <f t="shared" si="38"/>
        <v>41996</v>
      </c>
      <c r="AA40" s="203">
        <f>+Z40/X24</f>
        <v>0.013111082113434131</v>
      </c>
      <c r="AB40" s="175">
        <v>19500</v>
      </c>
      <c r="AC40" s="176">
        <v>0</v>
      </c>
      <c r="AD40" s="174">
        <f t="shared" si="39"/>
        <v>2776</v>
      </c>
      <c r="AE40" s="222">
        <v>0</v>
      </c>
      <c r="AF40" s="91">
        <v>14700</v>
      </c>
      <c r="AG40" s="85">
        <f t="shared" si="40"/>
        <v>44772</v>
      </c>
      <c r="AH40" s="121" t="s">
        <v>108</v>
      </c>
      <c r="AI40" s="325"/>
      <c r="AJ40" s="38">
        <f t="shared" si="41"/>
        <v>0</v>
      </c>
      <c r="AK40" s="85">
        <f t="shared" si="42"/>
        <v>41996</v>
      </c>
      <c r="AL40" s="203">
        <f>+AK40/AI24</f>
        <v>0.013111082113434131</v>
      </c>
      <c r="AM40" s="175">
        <v>19500</v>
      </c>
      <c r="AN40" s="176">
        <v>0</v>
      </c>
      <c r="AO40" s="174">
        <f t="shared" si="43"/>
        <v>2776</v>
      </c>
      <c r="AP40" s="222">
        <v>0</v>
      </c>
      <c r="AQ40" s="91">
        <v>0</v>
      </c>
      <c r="AR40" s="85">
        <f t="shared" si="44"/>
        <v>44772</v>
      </c>
      <c r="AS40" s="121" t="s">
        <v>108</v>
      </c>
      <c r="AT40" s="325"/>
      <c r="AU40" s="38">
        <f t="shared" si="45"/>
        <v>0</v>
      </c>
      <c r="AV40" s="85">
        <f t="shared" si="46"/>
        <v>41996</v>
      </c>
      <c r="AW40" s="203">
        <f>+AV40/AT24</f>
        <v>0.1049375312343828</v>
      </c>
      <c r="AX40" s="175">
        <v>19500</v>
      </c>
      <c r="AY40" s="176">
        <v>0</v>
      </c>
      <c r="AZ40" s="174">
        <f t="shared" si="47"/>
        <v>2776</v>
      </c>
      <c r="BA40" s="222">
        <v>0</v>
      </c>
      <c r="BB40" s="91">
        <v>0</v>
      </c>
      <c r="BC40" s="258">
        <f t="shared" si="51"/>
        <v>44772</v>
      </c>
      <c r="BD40" s="121" t="s">
        <v>108</v>
      </c>
      <c r="BE40" s="277"/>
      <c r="BF40" s="38">
        <f t="shared" si="56"/>
        <v>0</v>
      </c>
      <c r="BG40" s="85">
        <f t="shared" si="54"/>
        <v>41996</v>
      </c>
      <c r="BH40" s="203">
        <f>+BG40/BE24</f>
        <v>0.1049375312343828</v>
      </c>
      <c r="BI40" s="175">
        <v>19500</v>
      </c>
      <c r="BJ40" s="176">
        <v>0</v>
      </c>
      <c r="BK40" s="174">
        <f t="shared" si="48"/>
        <v>2776</v>
      </c>
      <c r="BL40" s="222">
        <v>0</v>
      </c>
      <c r="BM40" s="91">
        <v>0</v>
      </c>
      <c r="BN40" s="258">
        <f t="shared" si="61"/>
        <v>44772</v>
      </c>
      <c r="BO40" s="121" t="s">
        <v>108</v>
      </c>
      <c r="BP40" s="277"/>
      <c r="BQ40" s="38">
        <f t="shared" si="57"/>
        <v>0</v>
      </c>
      <c r="BR40" s="85">
        <f t="shared" si="9"/>
        <v>41996</v>
      </c>
      <c r="BS40" s="203">
        <f>+BR40/BP24</f>
        <v>0.1049375312343828</v>
      </c>
      <c r="BT40" s="175">
        <v>19500</v>
      </c>
      <c r="BU40" s="176">
        <v>0</v>
      </c>
      <c r="BV40" s="174">
        <f t="shared" si="49"/>
        <v>2776</v>
      </c>
      <c r="BW40" s="222">
        <v>0</v>
      </c>
      <c r="BX40" s="91">
        <v>0</v>
      </c>
      <c r="BY40" s="258">
        <f t="shared" si="11"/>
        <v>44772</v>
      </c>
      <c r="BZ40" s="121" t="s">
        <v>108</v>
      </c>
      <c r="CA40" s="277"/>
      <c r="CB40" s="38">
        <f t="shared" si="58"/>
        <v>0</v>
      </c>
      <c r="CC40" s="85">
        <f t="shared" si="62"/>
        <v>41996</v>
      </c>
      <c r="CD40" s="203">
        <f>+CC40/CA24</f>
        <v>0.1049375312343828</v>
      </c>
      <c r="CE40" s="175">
        <v>19500</v>
      </c>
      <c r="CF40" s="176">
        <v>0</v>
      </c>
      <c r="CG40" s="174">
        <f t="shared" si="59"/>
        <v>2776</v>
      </c>
      <c r="CH40" s="222">
        <v>0</v>
      </c>
      <c r="CI40" s="91">
        <v>0</v>
      </c>
      <c r="CJ40" s="258">
        <f t="shared" si="60"/>
        <v>44772</v>
      </c>
      <c r="CK40" s="121" t="s">
        <v>108</v>
      </c>
      <c r="CL40" s="277"/>
      <c r="CM40" s="38">
        <f t="shared" si="63"/>
        <v>0</v>
      </c>
      <c r="CN40" s="85">
        <f t="shared" si="18"/>
        <v>41996</v>
      </c>
      <c r="CO40" s="203">
        <f>+CN40/CL24</f>
        <v>0.1049375312343828</v>
      </c>
      <c r="CP40" s="175">
        <v>19500</v>
      </c>
      <c r="CQ40" s="176">
        <v>0</v>
      </c>
      <c r="CR40" s="174">
        <f t="shared" si="20"/>
        <v>2776</v>
      </c>
      <c r="CS40" s="222">
        <v>0</v>
      </c>
      <c r="CT40" s="91">
        <v>0</v>
      </c>
      <c r="CU40" s="258">
        <f t="shared" si="21"/>
        <v>44772</v>
      </c>
      <c r="CV40" s="121" t="s">
        <v>108</v>
      </c>
      <c r="CW40" s="277"/>
      <c r="CX40" s="38">
        <f t="shared" si="22"/>
        <v>0</v>
      </c>
      <c r="CY40" s="85">
        <f t="shared" si="23"/>
        <v>41996</v>
      </c>
      <c r="CZ40" s="203">
        <f>+CY40/CW24</f>
        <v>0.1049375312343828</v>
      </c>
      <c r="DA40" s="175">
        <v>19500</v>
      </c>
      <c r="DB40" s="176">
        <v>0</v>
      </c>
      <c r="DC40" s="174">
        <f t="shared" si="25"/>
        <v>2776</v>
      </c>
      <c r="DD40" s="222">
        <v>0</v>
      </c>
      <c r="DE40" s="91">
        <v>0</v>
      </c>
      <c r="DF40" s="258">
        <f t="shared" si="26"/>
        <v>44772</v>
      </c>
      <c r="DG40" s="121" t="s">
        <v>108</v>
      </c>
      <c r="DH40" s="277"/>
      <c r="DI40" s="283">
        <f t="shared" si="52"/>
        <v>0</v>
      </c>
      <c r="DJ40" s="85">
        <f t="shared" si="53"/>
        <v>41996</v>
      </c>
      <c r="DK40" s="203">
        <f>+DJ40/DH24</f>
        <v>0.1049375312343828</v>
      </c>
      <c r="DL40" s="175">
        <v>19500</v>
      </c>
      <c r="DM40" s="176">
        <v>0</v>
      </c>
      <c r="DN40" s="174">
        <f t="shared" si="28"/>
        <v>2776</v>
      </c>
      <c r="DO40" s="222">
        <v>0</v>
      </c>
      <c r="DP40" s="91">
        <v>0</v>
      </c>
      <c r="DQ40" s="258">
        <f t="shared" si="50"/>
        <v>44772</v>
      </c>
    </row>
    <row r="41" spans="1:121" ht="23.25" customHeight="1">
      <c r="A41" s="120" t="s">
        <v>115</v>
      </c>
      <c r="B41" s="325"/>
      <c r="C41" s="38">
        <f t="shared" si="29"/>
        <v>3000</v>
      </c>
      <c r="D41" s="85">
        <f t="shared" si="30"/>
        <v>3000</v>
      </c>
      <c r="E41" s="203">
        <f>+D41/B24</f>
        <v>0.0009365950647752737</v>
      </c>
      <c r="F41" s="172">
        <v>0</v>
      </c>
      <c r="G41" s="173">
        <v>0</v>
      </c>
      <c r="H41" s="174">
        <f t="shared" si="31"/>
        <v>0</v>
      </c>
      <c r="I41" s="222">
        <f>+H41/H51</f>
        <v>0</v>
      </c>
      <c r="J41" s="90">
        <f>+'[1]งบทดลอง-โปรแกรม61'!$F$270</f>
        <v>3000</v>
      </c>
      <c r="K41" s="85">
        <f t="shared" si="32"/>
        <v>3000</v>
      </c>
      <c r="L41" s="120" t="s">
        <v>115</v>
      </c>
      <c r="M41" s="325"/>
      <c r="N41" s="38">
        <f t="shared" si="33"/>
        <v>23000</v>
      </c>
      <c r="O41" s="85">
        <f t="shared" si="34"/>
        <v>26000</v>
      </c>
      <c r="P41" s="203">
        <f>+O41/M24</f>
        <v>0.008117157228052372</v>
      </c>
      <c r="Q41" s="172">
        <v>0</v>
      </c>
      <c r="R41" s="173">
        <v>0</v>
      </c>
      <c r="S41" s="174">
        <f t="shared" si="35"/>
        <v>0</v>
      </c>
      <c r="T41" s="222">
        <f>+S41/S51</f>
        <v>0</v>
      </c>
      <c r="U41" s="90">
        <v>23000</v>
      </c>
      <c r="V41" s="85">
        <f t="shared" si="36"/>
        <v>26000</v>
      </c>
      <c r="W41" s="120" t="s">
        <v>115</v>
      </c>
      <c r="X41" s="325"/>
      <c r="Y41" s="38">
        <f t="shared" si="37"/>
        <v>4300</v>
      </c>
      <c r="Z41" s="85">
        <f t="shared" si="38"/>
        <v>30300</v>
      </c>
      <c r="AA41" s="203">
        <f>+Z41/X24</f>
        <v>0.009459610154230264</v>
      </c>
      <c r="AB41" s="172">
        <v>0</v>
      </c>
      <c r="AC41" s="173">
        <v>0</v>
      </c>
      <c r="AD41" s="174">
        <f t="shared" si="39"/>
        <v>0</v>
      </c>
      <c r="AE41" s="222">
        <f>+AD41/AD51</f>
        <v>0</v>
      </c>
      <c r="AF41" s="90">
        <v>4300</v>
      </c>
      <c r="AG41" s="85">
        <f t="shared" si="40"/>
        <v>30300</v>
      </c>
      <c r="AH41" s="120" t="s">
        <v>115</v>
      </c>
      <c r="AI41" s="325"/>
      <c r="AJ41" s="38">
        <f t="shared" si="41"/>
        <v>0</v>
      </c>
      <c r="AK41" s="85">
        <f t="shared" si="42"/>
        <v>30300</v>
      </c>
      <c r="AL41" s="203">
        <f>+AK41/AI24</f>
        <v>0.009459610154230264</v>
      </c>
      <c r="AM41" s="172">
        <v>0</v>
      </c>
      <c r="AN41" s="173">
        <v>0</v>
      </c>
      <c r="AO41" s="174">
        <f t="shared" si="43"/>
        <v>0</v>
      </c>
      <c r="AP41" s="222">
        <f>+AO41/AO51</f>
        <v>0</v>
      </c>
      <c r="AQ41" s="90">
        <v>0</v>
      </c>
      <c r="AR41" s="85">
        <f t="shared" si="44"/>
        <v>30300</v>
      </c>
      <c r="AS41" s="120" t="s">
        <v>115</v>
      </c>
      <c r="AT41" s="325"/>
      <c r="AU41" s="38">
        <f t="shared" si="45"/>
        <v>81200</v>
      </c>
      <c r="AV41" s="85">
        <f t="shared" si="46"/>
        <v>111500</v>
      </c>
      <c r="AW41" s="203">
        <f>+AV41/AT24</f>
        <v>0.2786106946526737</v>
      </c>
      <c r="AX41" s="172">
        <v>0</v>
      </c>
      <c r="AY41" s="173">
        <v>0</v>
      </c>
      <c r="AZ41" s="174">
        <f t="shared" si="47"/>
        <v>0</v>
      </c>
      <c r="BA41" s="222">
        <f>+AZ41/AZ51</f>
        <v>0</v>
      </c>
      <c r="BB41" s="90">
        <v>81200</v>
      </c>
      <c r="BC41" s="258">
        <f t="shared" si="51"/>
        <v>111500</v>
      </c>
      <c r="BD41" s="120" t="s">
        <v>115</v>
      </c>
      <c r="BE41" s="277"/>
      <c r="BF41" s="38">
        <f t="shared" si="56"/>
        <v>4000</v>
      </c>
      <c r="BG41" s="85">
        <f t="shared" si="54"/>
        <v>115500</v>
      </c>
      <c r="BH41" s="203">
        <f>+BG41/BE24</f>
        <v>0.2886056971514243</v>
      </c>
      <c r="BI41" s="172">
        <v>0</v>
      </c>
      <c r="BJ41" s="173">
        <v>0</v>
      </c>
      <c r="BK41" s="174">
        <f t="shared" si="48"/>
        <v>0</v>
      </c>
      <c r="BL41" s="222">
        <f>+BK41/BK51</f>
        <v>0</v>
      </c>
      <c r="BM41" s="90">
        <v>4000</v>
      </c>
      <c r="BN41" s="258">
        <f t="shared" si="61"/>
        <v>115500</v>
      </c>
      <c r="BO41" s="120" t="s">
        <v>115</v>
      </c>
      <c r="BP41" s="277"/>
      <c r="BQ41" s="38">
        <f t="shared" si="57"/>
        <v>0</v>
      </c>
      <c r="BR41" s="85">
        <f t="shared" si="9"/>
        <v>115500</v>
      </c>
      <c r="BS41" s="203">
        <f>+BR41/BP24</f>
        <v>0.2886056971514243</v>
      </c>
      <c r="BT41" s="172">
        <v>0</v>
      </c>
      <c r="BU41" s="173">
        <v>0</v>
      </c>
      <c r="BV41" s="174">
        <f t="shared" si="49"/>
        <v>0</v>
      </c>
      <c r="BW41" s="222">
        <f>+BV41/BV51</f>
        <v>0</v>
      </c>
      <c r="BX41" s="90">
        <v>0</v>
      </c>
      <c r="BY41" s="258">
        <f t="shared" si="11"/>
        <v>115500</v>
      </c>
      <c r="BZ41" s="120" t="s">
        <v>115</v>
      </c>
      <c r="CA41" s="277"/>
      <c r="CB41" s="38">
        <f t="shared" si="58"/>
        <v>0</v>
      </c>
      <c r="CC41" s="85">
        <f t="shared" si="62"/>
        <v>115500</v>
      </c>
      <c r="CD41" s="203">
        <f>+CC41/CA24</f>
        <v>0.2886056971514243</v>
      </c>
      <c r="CE41" s="172">
        <v>0</v>
      </c>
      <c r="CF41" s="173">
        <v>0</v>
      </c>
      <c r="CG41" s="174">
        <f t="shared" si="59"/>
        <v>0</v>
      </c>
      <c r="CH41" s="222">
        <f>+CG41/CG51</f>
        <v>0</v>
      </c>
      <c r="CI41" s="90">
        <v>0</v>
      </c>
      <c r="CJ41" s="258">
        <f t="shared" si="60"/>
        <v>115500</v>
      </c>
      <c r="CK41" s="120" t="s">
        <v>115</v>
      </c>
      <c r="CL41" s="277"/>
      <c r="CM41" s="38">
        <f t="shared" si="63"/>
        <v>12085</v>
      </c>
      <c r="CN41" s="85">
        <f t="shared" si="18"/>
        <v>127585</v>
      </c>
      <c r="CO41" s="203">
        <f>+CN41/CL24</f>
        <v>0.3188030984507746</v>
      </c>
      <c r="CP41" s="172">
        <v>0</v>
      </c>
      <c r="CQ41" s="173">
        <v>0</v>
      </c>
      <c r="CR41" s="174">
        <f t="shared" si="20"/>
        <v>0</v>
      </c>
      <c r="CS41" s="222">
        <f>+CR41/CR51</f>
        <v>0</v>
      </c>
      <c r="CT41" s="90">
        <v>12085</v>
      </c>
      <c r="CU41" s="258">
        <f t="shared" si="21"/>
        <v>127585</v>
      </c>
      <c r="CV41" s="120" t="s">
        <v>115</v>
      </c>
      <c r="CW41" s="277"/>
      <c r="CX41" s="38">
        <f t="shared" si="22"/>
        <v>5400</v>
      </c>
      <c r="CY41" s="85">
        <f t="shared" si="23"/>
        <v>132985</v>
      </c>
      <c r="CZ41" s="203">
        <f>+CY41/CW24</f>
        <v>0.33229635182408795</v>
      </c>
      <c r="DA41" s="172">
        <v>0</v>
      </c>
      <c r="DB41" s="173">
        <v>0</v>
      </c>
      <c r="DC41" s="174">
        <f t="shared" si="25"/>
        <v>0</v>
      </c>
      <c r="DD41" s="222">
        <f>+DC41/DC51</f>
        <v>0</v>
      </c>
      <c r="DE41" s="90">
        <v>5400</v>
      </c>
      <c r="DF41" s="258">
        <f t="shared" si="26"/>
        <v>132985</v>
      </c>
      <c r="DG41" s="120" t="s">
        <v>115</v>
      </c>
      <c r="DH41" s="277"/>
      <c r="DI41" s="283">
        <v>2521</v>
      </c>
      <c r="DJ41" s="85">
        <f t="shared" si="53"/>
        <v>135506</v>
      </c>
      <c r="DK41" s="203">
        <f>+DJ41/DH24</f>
        <v>0.33859570214892554</v>
      </c>
      <c r="DL41" s="172">
        <v>0</v>
      </c>
      <c r="DM41" s="173">
        <v>0</v>
      </c>
      <c r="DN41" s="174">
        <f t="shared" si="28"/>
        <v>0</v>
      </c>
      <c r="DO41" s="222">
        <f>+DN41/DN51</f>
        <v>0</v>
      </c>
      <c r="DP41" s="90">
        <f>DI41</f>
        <v>2521</v>
      </c>
      <c r="DQ41" s="258">
        <f t="shared" si="50"/>
        <v>135506</v>
      </c>
    </row>
    <row r="42" spans="1:121" ht="23.25" customHeight="1">
      <c r="A42" s="120" t="s">
        <v>120</v>
      </c>
      <c r="B42" s="325"/>
      <c r="C42" s="38">
        <f t="shared" si="29"/>
        <v>0</v>
      </c>
      <c r="D42" s="85">
        <f t="shared" si="30"/>
        <v>0</v>
      </c>
      <c r="E42" s="203">
        <f>+D42/B24</f>
        <v>0</v>
      </c>
      <c r="F42" s="172">
        <v>0</v>
      </c>
      <c r="G42" s="173">
        <v>0</v>
      </c>
      <c r="H42" s="174">
        <f t="shared" si="31"/>
        <v>0</v>
      </c>
      <c r="I42" s="222">
        <v>0</v>
      </c>
      <c r="J42" s="90">
        <v>0</v>
      </c>
      <c r="K42" s="85">
        <f t="shared" si="32"/>
        <v>0</v>
      </c>
      <c r="L42" s="120" t="s">
        <v>120</v>
      </c>
      <c r="M42" s="325"/>
      <c r="N42" s="38">
        <f t="shared" si="33"/>
        <v>0</v>
      </c>
      <c r="O42" s="85">
        <f t="shared" si="34"/>
        <v>0</v>
      </c>
      <c r="P42" s="203">
        <f>+O42/M24</f>
        <v>0</v>
      </c>
      <c r="Q42" s="172">
        <v>0</v>
      </c>
      <c r="R42" s="173">
        <v>0</v>
      </c>
      <c r="S42" s="174">
        <f t="shared" si="35"/>
        <v>0</v>
      </c>
      <c r="T42" s="222">
        <v>0</v>
      </c>
      <c r="U42" s="90">
        <v>0</v>
      </c>
      <c r="V42" s="85">
        <f t="shared" si="36"/>
        <v>0</v>
      </c>
      <c r="W42" s="120" t="s">
        <v>120</v>
      </c>
      <c r="X42" s="325"/>
      <c r="Y42" s="38">
        <f t="shared" si="37"/>
        <v>0</v>
      </c>
      <c r="Z42" s="85">
        <f t="shared" si="38"/>
        <v>0</v>
      </c>
      <c r="AA42" s="203">
        <f>+Z42/X24</f>
        <v>0</v>
      </c>
      <c r="AB42" s="172">
        <v>0</v>
      </c>
      <c r="AC42" s="173">
        <v>0</v>
      </c>
      <c r="AD42" s="174">
        <f t="shared" si="39"/>
        <v>0</v>
      </c>
      <c r="AE42" s="222">
        <v>0</v>
      </c>
      <c r="AF42" s="90">
        <v>0</v>
      </c>
      <c r="AG42" s="85">
        <f t="shared" si="40"/>
        <v>0</v>
      </c>
      <c r="AH42" s="120" t="s">
        <v>120</v>
      </c>
      <c r="AI42" s="325"/>
      <c r="AJ42" s="38">
        <f t="shared" si="41"/>
        <v>0</v>
      </c>
      <c r="AK42" s="85">
        <f t="shared" si="42"/>
        <v>0</v>
      </c>
      <c r="AL42" s="203">
        <f>+AK42/AI24</f>
        <v>0</v>
      </c>
      <c r="AM42" s="172">
        <v>0</v>
      </c>
      <c r="AN42" s="173">
        <v>0</v>
      </c>
      <c r="AO42" s="174">
        <f t="shared" si="43"/>
        <v>0</v>
      </c>
      <c r="AP42" s="222">
        <v>0</v>
      </c>
      <c r="AQ42" s="90">
        <v>0</v>
      </c>
      <c r="AR42" s="85">
        <f t="shared" si="44"/>
        <v>0</v>
      </c>
      <c r="AS42" s="120" t="s">
        <v>120</v>
      </c>
      <c r="AT42" s="325"/>
      <c r="AU42" s="38">
        <f t="shared" si="45"/>
        <v>0</v>
      </c>
      <c r="AV42" s="85">
        <f t="shared" si="46"/>
        <v>0</v>
      </c>
      <c r="AW42" s="203">
        <f>+AV42/AT24</f>
        <v>0</v>
      </c>
      <c r="AX42" s="172">
        <v>0</v>
      </c>
      <c r="AY42" s="173">
        <v>0</v>
      </c>
      <c r="AZ42" s="174">
        <f t="shared" si="47"/>
        <v>0</v>
      </c>
      <c r="BA42" s="222">
        <v>0</v>
      </c>
      <c r="BB42" s="90">
        <v>0</v>
      </c>
      <c r="BC42" s="258">
        <f t="shared" si="51"/>
        <v>0</v>
      </c>
      <c r="BD42" s="120" t="s">
        <v>120</v>
      </c>
      <c r="BE42" s="277"/>
      <c r="BF42" s="38">
        <f t="shared" si="56"/>
        <v>0</v>
      </c>
      <c r="BG42" s="85">
        <f t="shared" si="54"/>
        <v>0</v>
      </c>
      <c r="BH42" s="203">
        <f>+BG42/BE24</f>
        <v>0</v>
      </c>
      <c r="BI42" s="172">
        <v>0</v>
      </c>
      <c r="BJ42" s="173">
        <v>0</v>
      </c>
      <c r="BK42" s="174">
        <f t="shared" si="48"/>
        <v>0</v>
      </c>
      <c r="BL42" s="222">
        <v>0</v>
      </c>
      <c r="BM42" s="90">
        <v>0</v>
      </c>
      <c r="BN42" s="258">
        <f t="shared" si="61"/>
        <v>0</v>
      </c>
      <c r="BO42" s="120" t="s">
        <v>120</v>
      </c>
      <c r="BP42" s="277"/>
      <c r="BQ42" s="38">
        <f t="shared" si="57"/>
        <v>0</v>
      </c>
      <c r="BR42" s="85">
        <f t="shared" si="9"/>
        <v>0</v>
      </c>
      <c r="BS42" s="203">
        <f>+BR42/BP24</f>
        <v>0</v>
      </c>
      <c r="BT42" s="172">
        <v>0</v>
      </c>
      <c r="BU42" s="173">
        <v>0</v>
      </c>
      <c r="BV42" s="174">
        <f t="shared" si="49"/>
        <v>0</v>
      </c>
      <c r="BW42" s="222">
        <v>0</v>
      </c>
      <c r="BX42" s="90">
        <v>0</v>
      </c>
      <c r="BY42" s="258">
        <f t="shared" si="11"/>
        <v>0</v>
      </c>
      <c r="BZ42" s="120" t="s">
        <v>120</v>
      </c>
      <c r="CA42" s="277"/>
      <c r="CB42" s="38">
        <f t="shared" si="58"/>
        <v>0</v>
      </c>
      <c r="CC42" s="85">
        <f t="shared" si="62"/>
        <v>0</v>
      </c>
      <c r="CD42" s="203">
        <f>+CC42/CA24</f>
        <v>0</v>
      </c>
      <c r="CE42" s="172">
        <v>0</v>
      </c>
      <c r="CF42" s="173">
        <v>0</v>
      </c>
      <c r="CG42" s="174">
        <f t="shared" si="59"/>
        <v>0</v>
      </c>
      <c r="CH42" s="222">
        <v>0</v>
      </c>
      <c r="CI42" s="90">
        <v>0</v>
      </c>
      <c r="CJ42" s="258">
        <f t="shared" si="60"/>
        <v>0</v>
      </c>
      <c r="CK42" s="120" t="s">
        <v>120</v>
      </c>
      <c r="CL42" s="277"/>
      <c r="CM42" s="38">
        <f t="shared" si="63"/>
        <v>0</v>
      </c>
      <c r="CN42" s="85">
        <f t="shared" si="18"/>
        <v>0</v>
      </c>
      <c r="CO42" s="203">
        <f>+CN42/CL24</f>
        <v>0</v>
      </c>
      <c r="CP42" s="172">
        <v>0</v>
      </c>
      <c r="CQ42" s="173">
        <v>0</v>
      </c>
      <c r="CR42" s="174">
        <f t="shared" si="20"/>
        <v>0</v>
      </c>
      <c r="CS42" s="222">
        <v>0</v>
      </c>
      <c r="CT42" s="90">
        <v>0</v>
      </c>
      <c r="CU42" s="258">
        <f t="shared" si="21"/>
        <v>0</v>
      </c>
      <c r="CV42" s="120" t="s">
        <v>120</v>
      </c>
      <c r="CW42" s="277"/>
      <c r="CX42" s="38">
        <f t="shared" si="22"/>
        <v>0</v>
      </c>
      <c r="CY42" s="85">
        <f t="shared" si="23"/>
        <v>0</v>
      </c>
      <c r="CZ42" s="203">
        <f>+CY42/CW24</f>
        <v>0</v>
      </c>
      <c r="DA42" s="172">
        <v>0</v>
      </c>
      <c r="DB42" s="173">
        <v>0</v>
      </c>
      <c r="DC42" s="174">
        <f t="shared" si="25"/>
        <v>0</v>
      </c>
      <c r="DD42" s="222">
        <v>0</v>
      </c>
      <c r="DE42" s="90">
        <v>0</v>
      </c>
      <c r="DF42" s="258">
        <f t="shared" si="26"/>
        <v>0</v>
      </c>
      <c r="DG42" s="120" t="s">
        <v>120</v>
      </c>
      <c r="DH42" s="277"/>
      <c r="DI42" s="283">
        <f t="shared" si="52"/>
        <v>0</v>
      </c>
      <c r="DJ42" s="85">
        <f t="shared" si="53"/>
        <v>0</v>
      </c>
      <c r="DK42" s="203">
        <f>+DJ42/DH24</f>
        <v>0</v>
      </c>
      <c r="DL42" s="172">
        <v>0</v>
      </c>
      <c r="DM42" s="173">
        <v>0</v>
      </c>
      <c r="DN42" s="174">
        <f t="shared" si="28"/>
        <v>0</v>
      </c>
      <c r="DO42" s="222">
        <v>0</v>
      </c>
      <c r="DP42" s="90">
        <v>0</v>
      </c>
      <c r="DQ42" s="258">
        <f t="shared" si="50"/>
        <v>0</v>
      </c>
    </row>
    <row r="43" spans="1:121" ht="23.25" customHeight="1">
      <c r="A43" s="220" t="s">
        <v>122</v>
      </c>
      <c r="B43" s="325"/>
      <c r="C43" s="38">
        <f t="shared" si="29"/>
        <v>0</v>
      </c>
      <c r="D43" s="85">
        <f t="shared" si="30"/>
        <v>0</v>
      </c>
      <c r="E43" s="203">
        <f>+D43/B24</f>
        <v>0</v>
      </c>
      <c r="F43" s="221">
        <v>0</v>
      </c>
      <c r="G43" s="185">
        <v>0</v>
      </c>
      <c r="H43" s="174">
        <f t="shared" si="31"/>
        <v>0</v>
      </c>
      <c r="I43" s="222">
        <v>0</v>
      </c>
      <c r="J43" s="109">
        <v>0</v>
      </c>
      <c r="K43" s="85">
        <f t="shared" si="32"/>
        <v>0</v>
      </c>
      <c r="L43" s="220" t="s">
        <v>122</v>
      </c>
      <c r="M43" s="325"/>
      <c r="N43" s="38">
        <f t="shared" si="33"/>
        <v>0</v>
      </c>
      <c r="O43" s="85">
        <f t="shared" si="34"/>
        <v>0</v>
      </c>
      <c r="P43" s="203">
        <f>+O43/M24</f>
        <v>0</v>
      </c>
      <c r="Q43" s="221">
        <v>0</v>
      </c>
      <c r="R43" s="185">
        <v>0</v>
      </c>
      <c r="S43" s="174">
        <f t="shared" si="35"/>
        <v>0</v>
      </c>
      <c r="T43" s="222">
        <v>0</v>
      </c>
      <c r="U43" s="109">
        <v>0</v>
      </c>
      <c r="V43" s="85">
        <f t="shared" si="36"/>
        <v>0</v>
      </c>
      <c r="W43" s="220" t="s">
        <v>122</v>
      </c>
      <c r="X43" s="325"/>
      <c r="Y43" s="38">
        <f t="shared" si="37"/>
        <v>0</v>
      </c>
      <c r="Z43" s="85">
        <f t="shared" si="38"/>
        <v>0</v>
      </c>
      <c r="AA43" s="203">
        <f>+Z43/X24</f>
        <v>0</v>
      </c>
      <c r="AB43" s="221">
        <v>0</v>
      </c>
      <c r="AC43" s="185">
        <v>0</v>
      </c>
      <c r="AD43" s="174">
        <f t="shared" si="39"/>
        <v>0</v>
      </c>
      <c r="AE43" s="222">
        <v>0</v>
      </c>
      <c r="AF43" s="109">
        <v>0</v>
      </c>
      <c r="AG43" s="85">
        <f t="shared" si="40"/>
        <v>0</v>
      </c>
      <c r="AH43" s="220" t="s">
        <v>122</v>
      </c>
      <c r="AI43" s="325"/>
      <c r="AJ43" s="38">
        <f t="shared" si="41"/>
        <v>0</v>
      </c>
      <c r="AK43" s="85">
        <f t="shared" si="42"/>
        <v>0</v>
      </c>
      <c r="AL43" s="203">
        <f>+AK43/AI24</f>
        <v>0</v>
      </c>
      <c r="AM43" s="221">
        <v>0</v>
      </c>
      <c r="AN43" s="185">
        <v>0</v>
      </c>
      <c r="AO43" s="174">
        <f t="shared" si="43"/>
        <v>0</v>
      </c>
      <c r="AP43" s="222">
        <v>0</v>
      </c>
      <c r="AQ43" s="109">
        <v>0</v>
      </c>
      <c r="AR43" s="85">
        <f t="shared" si="44"/>
        <v>0</v>
      </c>
      <c r="AS43" s="220" t="s">
        <v>122</v>
      </c>
      <c r="AT43" s="325"/>
      <c r="AU43" s="38">
        <f t="shared" si="45"/>
        <v>0</v>
      </c>
      <c r="AV43" s="85">
        <f t="shared" si="46"/>
        <v>0</v>
      </c>
      <c r="AW43" s="203">
        <f>+AV43/AT24</f>
        <v>0</v>
      </c>
      <c r="AX43" s="221">
        <v>0</v>
      </c>
      <c r="AY43" s="185">
        <v>0</v>
      </c>
      <c r="AZ43" s="174">
        <f t="shared" si="47"/>
        <v>0</v>
      </c>
      <c r="BA43" s="222">
        <v>0</v>
      </c>
      <c r="BB43" s="109">
        <v>0</v>
      </c>
      <c r="BC43" s="258">
        <f t="shared" si="51"/>
        <v>0</v>
      </c>
      <c r="BD43" s="220" t="s">
        <v>122</v>
      </c>
      <c r="BE43" s="277"/>
      <c r="BF43" s="38">
        <f t="shared" si="56"/>
        <v>0</v>
      </c>
      <c r="BG43" s="85">
        <f t="shared" si="54"/>
        <v>0</v>
      </c>
      <c r="BH43" s="203">
        <f>+BG43/BE24</f>
        <v>0</v>
      </c>
      <c r="BI43" s="221">
        <v>0</v>
      </c>
      <c r="BJ43" s="185">
        <v>0</v>
      </c>
      <c r="BK43" s="174">
        <f t="shared" si="48"/>
        <v>0</v>
      </c>
      <c r="BL43" s="222">
        <v>0</v>
      </c>
      <c r="BM43" s="109">
        <v>0</v>
      </c>
      <c r="BN43" s="258">
        <f t="shared" si="61"/>
        <v>0</v>
      </c>
      <c r="BO43" s="220" t="s">
        <v>122</v>
      </c>
      <c r="BP43" s="277"/>
      <c r="BQ43" s="38">
        <f t="shared" si="57"/>
        <v>0</v>
      </c>
      <c r="BR43" s="85">
        <f t="shared" si="9"/>
        <v>0</v>
      </c>
      <c r="BS43" s="203">
        <f>+BR43/BP24</f>
        <v>0</v>
      </c>
      <c r="BT43" s="221">
        <v>0</v>
      </c>
      <c r="BU43" s="185">
        <v>0</v>
      </c>
      <c r="BV43" s="174">
        <f t="shared" si="49"/>
        <v>0</v>
      </c>
      <c r="BW43" s="222">
        <v>0</v>
      </c>
      <c r="BX43" s="109">
        <v>0</v>
      </c>
      <c r="BY43" s="258">
        <f t="shared" si="11"/>
        <v>0</v>
      </c>
      <c r="BZ43" s="220" t="s">
        <v>122</v>
      </c>
      <c r="CA43" s="277"/>
      <c r="CB43" s="38">
        <f t="shared" si="58"/>
        <v>0</v>
      </c>
      <c r="CC43" s="85">
        <f t="shared" si="62"/>
        <v>0</v>
      </c>
      <c r="CD43" s="203">
        <f>+CC43/CA24</f>
        <v>0</v>
      </c>
      <c r="CE43" s="221">
        <v>0</v>
      </c>
      <c r="CF43" s="185">
        <v>0</v>
      </c>
      <c r="CG43" s="174">
        <f t="shared" si="59"/>
        <v>0</v>
      </c>
      <c r="CH43" s="222">
        <v>0</v>
      </c>
      <c r="CI43" s="109">
        <v>0</v>
      </c>
      <c r="CJ43" s="258">
        <f t="shared" si="60"/>
        <v>0</v>
      </c>
      <c r="CK43" s="220" t="s">
        <v>122</v>
      </c>
      <c r="CL43" s="277"/>
      <c r="CM43" s="38">
        <f t="shared" si="63"/>
        <v>0</v>
      </c>
      <c r="CN43" s="85">
        <f t="shared" si="18"/>
        <v>0</v>
      </c>
      <c r="CO43" s="203">
        <f>+CN43/CL24</f>
        <v>0</v>
      </c>
      <c r="CP43" s="221">
        <v>0</v>
      </c>
      <c r="CQ43" s="185">
        <v>0</v>
      </c>
      <c r="CR43" s="174">
        <f t="shared" si="20"/>
        <v>0</v>
      </c>
      <c r="CS43" s="222">
        <v>0</v>
      </c>
      <c r="CT43" s="109">
        <v>0</v>
      </c>
      <c r="CU43" s="258">
        <f t="shared" si="21"/>
        <v>0</v>
      </c>
      <c r="CV43" s="220" t="s">
        <v>122</v>
      </c>
      <c r="CW43" s="277"/>
      <c r="CX43" s="38">
        <f t="shared" si="22"/>
        <v>0</v>
      </c>
      <c r="CY43" s="85">
        <f t="shared" si="23"/>
        <v>0</v>
      </c>
      <c r="CZ43" s="203">
        <f>+CY43/CW24</f>
        <v>0</v>
      </c>
      <c r="DA43" s="221">
        <v>0</v>
      </c>
      <c r="DB43" s="185">
        <v>0</v>
      </c>
      <c r="DC43" s="174">
        <f t="shared" si="25"/>
        <v>0</v>
      </c>
      <c r="DD43" s="222">
        <v>0</v>
      </c>
      <c r="DE43" s="109">
        <v>0</v>
      </c>
      <c r="DF43" s="258">
        <f t="shared" si="26"/>
        <v>0</v>
      </c>
      <c r="DG43" s="220" t="s">
        <v>122</v>
      </c>
      <c r="DH43" s="277"/>
      <c r="DI43" s="283">
        <f t="shared" si="52"/>
        <v>0</v>
      </c>
      <c r="DJ43" s="85">
        <f t="shared" si="53"/>
        <v>0</v>
      </c>
      <c r="DK43" s="203">
        <f>+DJ43/DH24</f>
        <v>0</v>
      </c>
      <c r="DL43" s="221">
        <v>0</v>
      </c>
      <c r="DM43" s="185">
        <v>0</v>
      </c>
      <c r="DN43" s="174">
        <f t="shared" si="28"/>
        <v>0</v>
      </c>
      <c r="DO43" s="222">
        <v>0</v>
      </c>
      <c r="DP43" s="109">
        <v>0</v>
      </c>
      <c r="DQ43" s="258">
        <f t="shared" si="50"/>
        <v>0</v>
      </c>
    </row>
    <row r="44" spans="1:121" s="21" customFormat="1" ht="22.5" customHeight="1">
      <c r="A44" s="120" t="s">
        <v>124</v>
      </c>
      <c r="B44" s="327"/>
      <c r="C44" s="38">
        <f t="shared" si="29"/>
        <v>17640</v>
      </c>
      <c r="D44" s="85">
        <f t="shared" si="30"/>
        <v>17640</v>
      </c>
      <c r="E44" s="203">
        <f>+D44/B24</f>
        <v>0.005507178980878609</v>
      </c>
      <c r="F44" s="221">
        <v>0</v>
      </c>
      <c r="G44" s="185">
        <v>0</v>
      </c>
      <c r="H44" s="174">
        <f t="shared" si="31"/>
        <v>0</v>
      </c>
      <c r="I44" s="222">
        <v>0</v>
      </c>
      <c r="J44" s="109">
        <f>+'[1]งบทดลอง-โปรแกรม61'!$F$277</f>
        <v>17640</v>
      </c>
      <c r="K44" s="85">
        <f t="shared" si="32"/>
        <v>17640</v>
      </c>
      <c r="L44" s="120" t="s">
        <v>124</v>
      </c>
      <c r="M44" s="325"/>
      <c r="N44" s="38">
        <f t="shared" si="33"/>
        <v>0</v>
      </c>
      <c r="O44" s="85">
        <f t="shared" si="34"/>
        <v>17640</v>
      </c>
      <c r="P44" s="203">
        <f>+O44/M24</f>
        <v>0.005507178980878609</v>
      </c>
      <c r="Q44" s="221">
        <v>0</v>
      </c>
      <c r="R44" s="185">
        <v>0</v>
      </c>
      <c r="S44" s="174">
        <f t="shared" si="35"/>
        <v>0</v>
      </c>
      <c r="T44" s="222">
        <v>0</v>
      </c>
      <c r="U44" s="109">
        <v>0</v>
      </c>
      <c r="V44" s="85">
        <f t="shared" si="36"/>
        <v>17640</v>
      </c>
      <c r="W44" s="120" t="s">
        <v>124</v>
      </c>
      <c r="X44" s="325"/>
      <c r="Y44" s="38">
        <f t="shared" si="37"/>
        <v>0</v>
      </c>
      <c r="Z44" s="85">
        <f t="shared" si="38"/>
        <v>17640</v>
      </c>
      <c r="AA44" s="203">
        <f>+Z44/X24</f>
        <v>0.005507178980878609</v>
      </c>
      <c r="AB44" s="221">
        <v>0</v>
      </c>
      <c r="AC44" s="185">
        <v>0</v>
      </c>
      <c r="AD44" s="174">
        <f t="shared" si="39"/>
        <v>0</v>
      </c>
      <c r="AE44" s="222">
        <v>0</v>
      </c>
      <c r="AF44" s="109">
        <v>0</v>
      </c>
      <c r="AG44" s="85">
        <f t="shared" si="40"/>
        <v>17640</v>
      </c>
      <c r="AH44" s="120" t="s">
        <v>124</v>
      </c>
      <c r="AI44" s="325"/>
      <c r="AJ44" s="38">
        <f t="shared" si="41"/>
        <v>0</v>
      </c>
      <c r="AK44" s="85">
        <f t="shared" si="42"/>
        <v>17640</v>
      </c>
      <c r="AL44" s="203">
        <f>+AK44/AI24</f>
        <v>0.005507178980878609</v>
      </c>
      <c r="AM44" s="221">
        <v>0</v>
      </c>
      <c r="AN44" s="185">
        <v>0</v>
      </c>
      <c r="AO44" s="174">
        <f t="shared" si="43"/>
        <v>0</v>
      </c>
      <c r="AP44" s="222">
        <v>0</v>
      </c>
      <c r="AQ44" s="109">
        <v>0</v>
      </c>
      <c r="AR44" s="85">
        <f t="shared" si="44"/>
        <v>17640</v>
      </c>
      <c r="AS44" s="120" t="s">
        <v>124</v>
      </c>
      <c r="AT44" s="325"/>
      <c r="AU44" s="38">
        <f t="shared" si="45"/>
        <v>0</v>
      </c>
      <c r="AV44" s="85">
        <f t="shared" si="46"/>
        <v>17640</v>
      </c>
      <c r="AW44" s="203">
        <f>+AV44/AT24</f>
        <v>0.044077961019490255</v>
      </c>
      <c r="AX44" s="221">
        <v>0</v>
      </c>
      <c r="AY44" s="185">
        <v>0</v>
      </c>
      <c r="AZ44" s="174">
        <f t="shared" si="47"/>
        <v>0</v>
      </c>
      <c r="BA44" s="222">
        <v>0</v>
      </c>
      <c r="BB44" s="109">
        <v>0</v>
      </c>
      <c r="BC44" s="258">
        <f t="shared" si="51"/>
        <v>17640</v>
      </c>
      <c r="BD44" s="120" t="s">
        <v>124</v>
      </c>
      <c r="BE44" s="277"/>
      <c r="BF44" s="38">
        <f t="shared" si="56"/>
        <v>0</v>
      </c>
      <c r="BG44" s="85">
        <f t="shared" si="54"/>
        <v>17640</v>
      </c>
      <c r="BH44" s="203">
        <f>+BG44/BE24</f>
        <v>0.044077961019490255</v>
      </c>
      <c r="BI44" s="221">
        <v>0</v>
      </c>
      <c r="BJ44" s="185">
        <v>0</v>
      </c>
      <c r="BK44" s="174">
        <f t="shared" si="48"/>
        <v>0</v>
      </c>
      <c r="BL44" s="222">
        <v>0</v>
      </c>
      <c r="BM44" s="109">
        <v>0</v>
      </c>
      <c r="BN44" s="258">
        <f t="shared" si="61"/>
        <v>17640</v>
      </c>
      <c r="BO44" s="120" t="s">
        <v>124</v>
      </c>
      <c r="BP44" s="277"/>
      <c r="BQ44" s="38">
        <f t="shared" si="57"/>
        <v>0</v>
      </c>
      <c r="BR44" s="85">
        <f t="shared" si="9"/>
        <v>17640</v>
      </c>
      <c r="BS44" s="203">
        <f>+BR44/BP24</f>
        <v>0.044077961019490255</v>
      </c>
      <c r="BT44" s="221">
        <v>0</v>
      </c>
      <c r="BU44" s="185">
        <v>0</v>
      </c>
      <c r="BV44" s="174">
        <f t="shared" si="49"/>
        <v>0</v>
      </c>
      <c r="BW44" s="222">
        <v>0</v>
      </c>
      <c r="BX44" s="109">
        <v>0</v>
      </c>
      <c r="BY44" s="258">
        <f t="shared" si="11"/>
        <v>17640</v>
      </c>
      <c r="BZ44" s="120" t="s">
        <v>124</v>
      </c>
      <c r="CA44" s="277"/>
      <c r="CB44" s="38">
        <f t="shared" si="58"/>
        <v>0</v>
      </c>
      <c r="CC44" s="85">
        <f t="shared" si="62"/>
        <v>17640</v>
      </c>
      <c r="CD44" s="203">
        <f>+CC44/CA24</f>
        <v>0.044077961019490255</v>
      </c>
      <c r="CE44" s="221">
        <v>0</v>
      </c>
      <c r="CF44" s="185">
        <v>0</v>
      </c>
      <c r="CG44" s="174">
        <f t="shared" si="59"/>
        <v>0</v>
      </c>
      <c r="CH44" s="222">
        <v>0</v>
      </c>
      <c r="CI44" s="109">
        <v>0</v>
      </c>
      <c r="CJ44" s="258">
        <f t="shared" si="60"/>
        <v>17640</v>
      </c>
      <c r="CK44" s="120" t="s">
        <v>124</v>
      </c>
      <c r="CL44" s="277"/>
      <c r="CM44" s="38">
        <f t="shared" si="63"/>
        <v>0</v>
      </c>
      <c r="CN44" s="85">
        <f t="shared" si="18"/>
        <v>17640</v>
      </c>
      <c r="CO44" s="203">
        <f>+CN44/CL24</f>
        <v>0.044077961019490255</v>
      </c>
      <c r="CP44" s="221">
        <v>0</v>
      </c>
      <c r="CQ44" s="185">
        <v>0</v>
      </c>
      <c r="CR44" s="174">
        <f t="shared" si="20"/>
        <v>0</v>
      </c>
      <c r="CS44" s="222">
        <v>0</v>
      </c>
      <c r="CT44" s="109">
        <v>0</v>
      </c>
      <c r="CU44" s="258">
        <f t="shared" si="21"/>
        <v>17640</v>
      </c>
      <c r="CV44" s="120" t="s">
        <v>124</v>
      </c>
      <c r="CW44" s="277"/>
      <c r="CX44" s="38">
        <f t="shared" si="22"/>
        <v>0</v>
      </c>
      <c r="CY44" s="85">
        <f t="shared" si="23"/>
        <v>17640</v>
      </c>
      <c r="CZ44" s="203">
        <f>+CY44/CW24</f>
        <v>0.044077961019490255</v>
      </c>
      <c r="DA44" s="221">
        <v>0</v>
      </c>
      <c r="DB44" s="185">
        <v>0</v>
      </c>
      <c r="DC44" s="174">
        <f t="shared" si="25"/>
        <v>0</v>
      </c>
      <c r="DD44" s="222">
        <v>0</v>
      </c>
      <c r="DE44" s="109">
        <v>0</v>
      </c>
      <c r="DF44" s="258">
        <f t="shared" si="26"/>
        <v>17640</v>
      </c>
      <c r="DG44" s="120" t="s">
        <v>124</v>
      </c>
      <c r="DH44" s="277"/>
      <c r="DI44" s="283">
        <f t="shared" si="52"/>
        <v>0</v>
      </c>
      <c r="DJ44" s="85">
        <f t="shared" si="53"/>
        <v>17640</v>
      </c>
      <c r="DK44" s="203">
        <f>+DJ44/DH24</f>
        <v>0.044077961019490255</v>
      </c>
      <c r="DL44" s="221">
        <v>0</v>
      </c>
      <c r="DM44" s="185">
        <v>0</v>
      </c>
      <c r="DN44" s="174">
        <f t="shared" si="28"/>
        <v>0</v>
      </c>
      <c r="DO44" s="222">
        <v>0</v>
      </c>
      <c r="DP44" s="109">
        <v>0</v>
      </c>
      <c r="DQ44" s="258">
        <f t="shared" si="50"/>
        <v>17640</v>
      </c>
    </row>
    <row r="45" spans="1:121" s="21" customFormat="1" ht="22.5" customHeight="1">
      <c r="A45" s="250" t="s">
        <v>155</v>
      </c>
      <c r="B45" s="251"/>
      <c r="C45" s="211"/>
      <c r="D45" s="252"/>
      <c r="E45" s="253"/>
      <c r="F45" s="254"/>
      <c r="G45" s="213"/>
      <c r="H45" s="255"/>
      <c r="I45" s="256"/>
      <c r="J45" s="212"/>
      <c r="K45" s="252"/>
      <c r="L45" s="250" t="s">
        <v>155</v>
      </c>
      <c r="M45" s="326"/>
      <c r="N45" s="38">
        <f t="shared" si="33"/>
        <v>19975</v>
      </c>
      <c r="O45" s="85">
        <f>+V45-S45</f>
        <v>19975</v>
      </c>
      <c r="P45" s="203">
        <f>+O45/M24</f>
        <v>0.0062361621396286974</v>
      </c>
      <c r="Q45" s="254">
        <v>0</v>
      </c>
      <c r="R45" s="213">
        <v>0</v>
      </c>
      <c r="S45" s="174">
        <f t="shared" si="35"/>
        <v>0</v>
      </c>
      <c r="T45" s="222">
        <v>0</v>
      </c>
      <c r="U45" s="212">
        <v>19975</v>
      </c>
      <c r="V45" s="85">
        <f t="shared" si="36"/>
        <v>19975</v>
      </c>
      <c r="W45" s="250" t="s">
        <v>155</v>
      </c>
      <c r="X45" s="326"/>
      <c r="Y45" s="38">
        <f t="shared" si="37"/>
        <v>0</v>
      </c>
      <c r="Z45" s="85">
        <f>+AG45-AD45</f>
        <v>19975</v>
      </c>
      <c r="AA45" s="203">
        <f>+Z45/X24</f>
        <v>0.0062361621396286974</v>
      </c>
      <c r="AB45" s="254">
        <v>0</v>
      </c>
      <c r="AC45" s="213">
        <v>0</v>
      </c>
      <c r="AD45" s="174">
        <f t="shared" si="39"/>
        <v>0</v>
      </c>
      <c r="AE45" s="222">
        <v>0</v>
      </c>
      <c r="AF45" s="212">
        <v>0</v>
      </c>
      <c r="AG45" s="85">
        <f t="shared" si="40"/>
        <v>19975</v>
      </c>
      <c r="AH45" s="250" t="s">
        <v>155</v>
      </c>
      <c r="AI45" s="326"/>
      <c r="AJ45" s="38">
        <f t="shared" si="41"/>
        <v>0</v>
      </c>
      <c r="AK45" s="85">
        <f>+AR45-AO45</f>
        <v>19975</v>
      </c>
      <c r="AL45" s="203">
        <f>+AK45/AI24</f>
        <v>0.0062361621396286974</v>
      </c>
      <c r="AM45" s="254">
        <v>0</v>
      </c>
      <c r="AN45" s="213">
        <v>0</v>
      </c>
      <c r="AO45" s="174">
        <f t="shared" si="43"/>
        <v>0</v>
      </c>
      <c r="AP45" s="222">
        <v>0</v>
      </c>
      <c r="AQ45" s="212">
        <v>0</v>
      </c>
      <c r="AR45" s="85">
        <f t="shared" si="44"/>
        <v>19975</v>
      </c>
      <c r="AS45" s="250" t="s">
        <v>155</v>
      </c>
      <c r="AT45" s="326"/>
      <c r="AU45" s="38">
        <f t="shared" si="45"/>
        <v>0</v>
      </c>
      <c r="AV45" s="85">
        <f>+BC45-AZ45</f>
        <v>19975</v>
      </c>
      <c r="AW45" s="203">
        <f>+AV45/AT24</f>
        <v>0.04991254372813593</v>
      </c>
      <c r="AX45" s="254">
        <v>0</v>
      </c>
      <c r="AY45" s="213">
        <v>0</v>
      </c>
      <c r="AZ45" s="174">
        <f t="shared" si="47"/>
        <v>0</v>
      </c>
      <c r="BA45" s="222">
        <v>0</v>
      </c>
      <c r="BB45" s="212">
        <v>0</v>
      </c>
      <c r="BC45" s="258">
        <f t="shared" si="51"/>
        <v>19975</v>
      </c>
      <c r="BD45" s="120" t="s">
        <v>155</v>
      </c>
      <c r="BE45" s="277"/>
      <c r="BF45" s="38">
        <f t="shared" si="56"/>
        <v>0</v>
      </c>
      <c r="BG45" s="85">
        <f>+BN45-BK45</f>
        <v>19975</v>
      </c>
      <c r="BH45" s="203">
        <f>+BG45/BE24</f>
        <v>0.04991254372813593</v>
      </c>
      <c r="BI45" s="172">
        <v>0</v>
      </c>
      <c r="BJ45" s="173">
        <v>0</v>
      </c>
      <c r="BK45" s="174">
        <f t="shared" si="48"/>
        <v>0</v>
      </c>
      <c r="BL45" s="222">
        <v>0</v>
      </c>
      <c r="BM45" s="90">
        <v>0</v>
      </c>
      <c r="BN45" s="258">
        <f t="shared" si="61"/>
        <v>19975</v>
      </c>
      <c r="BO45" s="120" t="s">
        <v>155</v>
      </c>
      <c r="BP45" s="277"/>
      <c r="BQ45" s="38">
        <f t="shared" si="57"/>
        <v>0</v>
      </c>
      <c r="BR45" s="85">
        <f>+BY45-BV45</f>
        <v>19975</v>
      </c>
      <c r="BS45" s="203">
        <f>+BR45/BP24</f>
        <v>0.04991254372813593</v>
      </c>
      <c r="BT45" s="172">
        <v>0</v>
      </c>
      <c r="BU45" s="173">
        <v>0</v>
      </c>
      <c r="BV45" s="174">
        <f t="shared" si="49"/>
        <v>0</v>
      </c>
      <c r="BW45" s="222">
        <v>0</v>
      </c>
      <c r="BX45" s="90">
        <v>0</v>
      </c>
      <c r="BY45" s="258">
        <f t="shared" si="11"/>
        <v>19975</v>
      </c>
      <c r="BZ45" s="120" t="s">
        <v>155</v>
      </c>
      <c r="CA45" s="277"/>
      <c r="CB45" s="38">
        <f t="shared" si="58"/>
        <v>0</v>
      </c>
      <c r="CC45" s="85">
        <f aca="true" t="shared" si="64" ref="CC45:CC50">+CJ45-CG45</f>
        <v>19975</v>
      </c>
      <c r="CD45" s="203">
        <f>+CC45/CA24</f>
        <v>0.04991254372813593</v>
      </c>
      <c r="CE45" s="172">
        <v>0</v>
      </c>
      <c r="CF45" s="173">
        <v>0</v>
      </c>
      <c r="CG45" s="174">
        <f t="shared" si="59"/>
        <v>0</v>
      </c>
      <c r="CH45" s="222">
        <v>0</v>
      </c>
      <c r="CI45" s="90">
        <v>0</v>
      </c>
      <c r="CJ45" s="258">
        <f t="shared" si="60"/>
        <v>19975</v>
      </c>
      <c r="CK45" s="120" t="s">
        <v>155</v>
      </c>
      <c r="CL45" s="277"/>
      <c r="CM45" s="38">
        <f t="shared" si="63"/>
        <v>0</v>
      </c>
      <c r="CN45" s="85">
        <f t="shared" si="18"/>
        <v>19975</v>
      </c>
      <c r="CO45" s="203">
        <f>+CN45/CL24</f>
        <v>0.04991254372813593</v>
      </c>
      <c r="CP45" s="172">
        <v>0</v>
      </c>
      <c r="CQ45" s="173">
        <v>0</v>
      </c>
      <c r="CR45" s="174">
        <f t="shared" si="20"/>
        <v>0</v>
      </c>
      <c r="CS45" s="222">
        <v>0</v>
      </c>
      <c r="CT45" s="90">
        <v>0</v>
      </c>
      <c r="CU45" s="258">
        <f t="shared" si="21"/>
        <v>19975</v>
      </c>
      <c r="CV45" s="120" t="s">
        <v>155</v>
      </c>
      <c r="CW45" s="277"/>
      <c r="CX45" s="38">
        <f t="shared" si="22"/>
        <v>0</v>
      </c>
      <c r="CY45" s="85">
        <f t="shared" si="23"/>
        <v>19975</v>
      </c>
      <c r="CZ45" s="203">
        <f>+CY45/CW24</f>
        <v>0.04991254372813593</v>
      </c>
      <c r="DA45" s="172">
        <v>0</v>
      </c>
      <c r="DB45" s="173">
        <v>0</v>
      </c>
      <c r="DC45" s="174">
        <f t="shared" si="25"/>
        <v>0</v>
      </c>
      <c r="DD45" s="222">
        <v>0</v>
      </c>
      <c r="DE45" s="90">
        <v>0</v>
      </c>
      <c r="DF45" s="258">
        <f t="shared" si="26"/>
        <v>19975</v>
      </c>
      <c r="DG45" s="120" t="s">
        <v>155</v>
      </c>
      <c r="DH45" s="277"/>
      <c r="DI45" s="283">
        <f t="shared" si="52"/>
        <v>0</v>
      </c>
      <c r="DJ45" s="85">
        <f t="shared" si="53"/>
        <v>19975</v>
      </c>
      <c r="DK45" s="203">
        <f>+DJ45/DH24</f>
        <v>0.04991254372813593</v>
      </c>
      <c r="DL45" s="172">
        <v>0</v>
      </c>
      <c r="DM45" s="173">
        <v>0</v>
      </c>
      <c r="DN45" s="174">
        <f t="shared" si="28"/>
        <v>0</v>
      </c>
      <c r="DO45" s="222">
        <v>0</v>
      </c>
      <c r="DP45" s="90">
        <v>0</v>
      </c>
      <c r="DQ45" s="258">
        <f t="shared" si="50"/>
        <v>19975</v>
      </c>
    </row>
    <row r="46" spans="1:121" s="21" customFormat="1" ht="22.5" customHeight="1">
      <c r="A46" s="250"/>
      <c r="B46" s="251"/>
      <c r="C46" s="211"/>
      <c r="D46" s="252"/>
      <c r="E46" s="253"/>
      <c r="F46" s="254"/>
      <c r="G46" s="213"/>
      <c r="H46" s="255"/>
      <c r="I46" s="256"/>
      <c r="J46" s="212"/>
      <c r="K46" s="252"/>
      <c r="L46" s="250"/>
      <c r="M46" s="274"/>
      <c r="N46" s="211"/>
      <c r="O46" s="252"/>
      <c r="P46" s="253"/>
      <c r="Q46" s="254"/>
      <c r="R46" s="213"/>
      <c r="S46" s="255"/>
      <c r="T46" s="256"/>
      <c r="U46" s="212"/>
      <c r="V46" s="252"/>
      <c r="W46" s="250"/>
      <c r="X46" s="274"/>
      <c r="Y46" s="211"/>
      <c r="Z46" s="252"/>
      <c r="AA46" s="253"/>
      <c r="AB46" s="254"/>
      <c r="AC46" s="213"/>
      <c r="AD46" s="255"/>
      <c r="AE46" s="256"/>
      <c r="AF46" s="212"/>
      <c r="AG46" s="252"/>
      <c r="AH46" s="250"/>
      <c r="AI46" s="274"/>
      <c r="AJ46" s="211"/>
      <c r="AK46" s="252"/>
      <c r="AL46" s="253"/>
      <c r="AM46" s="254"/>
      <c r="AN46" s="213"/>
      <c r="AO46" s="255"/>
      <c r="AP46" s="256"/>
      <c r="AQ46" s="212"/>
      <c r="AR46" s="252"/>
      <c r="AS46" s="250"/>
      <c r="AT46" s="274"/>
      <c r="AU46" s="211"/>
      <c r="AV46" s="252"/>
      <c r="AW46" s="253"/>
      <c r="AX46" s="254"/>
      <c r="AY46" s="213"/>
      <c r="AZ46" s="255"/>
      <c r="BA46" s="256"/>
      <c r="BB46" s="212"/>
      <c r="BC46" s="275"/>
      <c r="BD46" s="250" t="s">
        <v>183</v>
      </c>
      <c r="BE46" s="274"/>
      <c r="BF46" s="38">
        <f t="shared" si="56"/>
        <v>2000</v>
      </c>
      <c r="BG46" s="85">
        <f>+BN46-BK46</f>
        <v>2000</v>
      </c>
      <c r="BH46" s="203">
        <f>+BG46/BE24</f>
        <v>0.004997501249375313</v>
      </c>
      <c r="BI46" s="172">
        <v>0</v>
      </c>
      <c r="BJ46" s="173">
        <v>0</v>
      </c>
      <c r="BK46" s="174">
        <f t="shared" si="48"/>
        <v>0</v>
      </c>
      <c r="BL46" s="222">
        <v>0</v>
      </c>
      <c r="BM46" s="90">
        <v>2000</v>
      </c>
      <c r="BN46" s="258">
        <f t="shared" si="61"/>
        <v>2000</v>
      </c>
      <c r="BO46" s="120" t="s">
        <v>183</v>
      </c>
      <c r="BP46" s="274"/>
      <c r="BQ46" s="38">
        <f t="shared" si="57"/>
        <v>-2000</v>
      </c>
      <c r="BR46" s="85">
        <f>+BY46-BV46</f>
        <v>0</v>
      </c>
      <c r="BS46" s="203">
        <f>+BR46/BP24</f>
        <v>0</v>
      </c>
      <c r="BT46" s="172">
        <v>0</v>
      </c>
      <c r="BU46" s="173">
        <v>0</v>
      </c>
      <c r="BV46" s="174">
        <f t="shared" si="49"/>
        <v>0</v>
      </c>
      <c r="BW46" s="222">
        <v>0</v>
      </c>
      <c r="BX46" s="90">
        <v>-2000</v>
      </c>
      <c r="BY46" s="258">
        <f t="shared" si="11"/>
        <v>0</v>
      </c>
      <c r="BZ46" s="120" t="s">
        <v>183</v>
      </c>
      <c r="CA46" s="274"/>
      <c r="CB46" s="38">
        <f t="shared" si="58"/>
        <v>0</v>
      </c>
      <c r="CC46" s="85">
        <f t="shared" si="64"/>
        <v>0</v>
      </c>
      <c r="CD46" s="203">
        <f>+CC46/CA24</f>
        <v>0</v>
      </c>
      <c r="CE46" s="172">
        <v>0</v>
      </c>
      <c r="CF46" s="173">
        <v>0</v>
      </c>
      <c r="CG46" s="174">
        <f t="shared" si="59"/>
        <v>0</v>
      </c>
      <c r="CH46" s="222">
        <v>0</v>
      </c>
      <c r="CI46" s="90">
        <v>0</v>
      </c>
      <c r="CJ46" s="258">
        <f t="shared" si="60"/>
        <v>0</v>
      </c>
      <c r="CK46" s="120" t="s">
        <v>183</v>
      </c>
      <c r="CL46" s="274"/>
      <c r="CM46" s="38">
        <f t="shared" si="63"/>
        <v>0</v>
      </c>
      <c r="CN46" s="85">
        <f t="shared" si="18"/>
        <v>0</v>
      </c>
      <c r="CO46" s="203">
        <f>+CN46/CL24</f>
        <v>0</v>
      </c>
      <c r="CP46" s="172">
        <v>0</v>
      </c>
      <c r="CQ46" s="173">
        <v>0</v>
      </c>
      <c r="CR46" s="174">
        <f t="shared" si="20"/>
        <v>0</v>
      </c>
      <c r="CS46" s="222">
        <v>0</v>
      </c>
      <c r="CT46" s="90">
        <v>0</v>
      </c>
      <c r="CU46" s="258">
        <f t="shared" si="21"/>
        <v>0</v>
      </c>
      <c r="CV46" s="120" t="s">
        <v>183</v>
      </c>
      <c r="CW46" s="274"/>
      <c r="CX46" s="38">
        <f t="shared" si="22"/>
        <v>0</v>
      </c>
      <c r="CY46" s="85">
        <f t="shared" si="23"/>
        <v>0</v>
      </c>
      <c r="CZ46" s="203">
        <f>+CY46/CW24</f>
        <v>0</v>
      </c>
      <c r="DA46" s="172">
        <v>0</v>
      </c>
      <c r="DB46" s="173">
        <v>0</v>
      </c>
      <c r="DC46" s="174">
        <f t="shared" si="25"/>
        <v>0</v>
      </c>
      <c r="DD46" s="222">
        <v>0</v>
      </c>
      <c r="DE46" s="90">
        <v>0</v>
      </c>
      <c r="DF46" s="258">
        <f t="shared" si="26"/>
        <v>0</v>
      </c>
      <c r="DG46" s="120" t="s">
        <v>183</v>
      </c>
      <c r="DH46" s="274"/>
      <c r="DI46" s="283">
        <f t="shared" si="52"/>
        <v>0</v>
      </c>
      <c r="DJ46" s="85">
        <f t="shared" si="53"/>
        <v>0</v>
      </c>
      <c r="DK46" s="203">
        <f>+DJ46/DH24</f>
        <v>0</v>
      </c>
      <c r="DL46" s="172">
        <v>0</v>
      </c>
      <c r="DM46" s="173">
        <v>0</v>
      </c>
      <c r="DN46" s="174">
        <f t="shared" si="28"/>
        <v>0</v>
      </c>
      <c r="DO46" s="222">
        <v>0</v>
      </c>
      <c r="DP46" s="90">
        <v>0</v>
      </c>
      <c r="DQ46" s="258">
        <f t="shared" si="50"/>
        <v>0</v>
      </c>
    </row>
    <row r="47" spans="1:121" s="21" customFormat="1" ht="22.5" customHeight="1">
      <c r="A47" s="250"/>
      <c r="B47" s="251"/>
      <c r="C47" s="211"/>
      <c r="D47" s="252"/>
      <c r="E47" s="253"/>
      <c r="F47" s="254"/>
      <c r="G47" s="213"/>
      <c r="H47" s="255"/>
      <c r="I47" s="256"/>
      <c r="J47" s="212"/>
      <c r="K47" s="252"/>
      <c r="L47" s="250"/>
      <c r="M47" s="274"/>
      <c r="N47" s="211"/>
      <c r="O47" s="252"/>
      <c r="P47" s="253"/>
      <c r="Q47" s="254"/>
      <c r="R47" s="213"/>
      <c r="S47" s="255"/>
      <c r="T47" s="256"/>
      <c r="U47" s="212"/>
      <c r="V47" s="252"/>
      <c r="W47" s="250"/>
      <c r="X47" s="274"/>
      <c r="Y47" s="211"/>
      <c r="Z47" s="252"/>
      <c r="AA47" s="253"/>
      <c r="AB47" s="254"/>
      <c r="AC47" s="213"/>
      <c r="AD47" s="255"/>
      <c r="AE47" s="256"/>
      <c r="AF47" s="212"/>
      <c r="AG47" s="252"/>
      <c r="AH47" s="250"/>
      <c r="AI47" s="274"/>
      <c r="AJ47" s="211"/>
      <c r="AK47" s="252"/>
      <c r="AL47" s="253"/>
      <c r="AM47" s="254"/>
      <c r="AN47" s="213"/>
      <c r="AO47" s="255"/>
      <c r="AP47" s="256"/>
      <c r="AQ47" s="212"/>
      <c r="AR47" s="252"/>
      <c r="AS47" s="250"/>
      <c r="AT47" s="274"/>
      <c r="AU47" s="211"/>
      <c r="AV47" s="252"/>
      <c r="AW47" s="253"/>
      <c r="AX47" s="254"/>
      <c r="AY47" s="213"/>
      <c r="AZ47" s="255"/>
      <c r="BA47" s="256"/>
      <c r="BB47" s="212"/>
      <c r="BC47" s="275"/>
      <c r="BD47" s="250"/>
      <c r="BE47" s="274"/>
      <c r="BF47" s="211"/>
      <c r="BG47" s="252"/>
      <c r="BH47" s="253"/>
      <c r="BI47" s="254"/>
      <c r="BJ47" s="213"/>
      <c r="BK47" s="255"/>
      <c r="BL47" s="256"/>
      <c r="BM47" s="212"/>
      <c r="BN47" s="275"/>
      <c r="BO47" s="120" t="s">
        <v>185</v>
      </c>
      <c r="BP47" s="274"/>
      <c r="BQ47" s="38">
        <f t="shared" si="57"/>
        <v>42408.3</v>
      </c>
      <c r="BR47" s="85">
        <f>+BY47-BV47</f>
        <v>42408.3</v>
      </c>
      <c r="BS47" s="203">
        <f>+BR47/BP24</f>
        <v>0.10596776611694153</v>
      </c>
      <c r="BT47" s="172">
        <v>0</v>
      </c>
      <c r="BU47" s="173">
        <v>0</v>
      </c>
      <c r="BV47" s="174">
        <f t="shared" si="49"/>
        <v>0</v>
      </c>
      <c r="BW47" s="222">
        <v>0</v>
      </c>
      <c r="BX47" s="90">
        <v>42408.3</v>
      </c>
      <c r="BY47" s="258">
        <f t="shared" si="11"/>
        <v>42408.3</v>
      </c>
      <c r="BZ47" s="120" t="s">
        <v>185</v>
      </c>
      <c r="CA47" s="274"/>
      <c r="CB47" s="38">
        <f t="shared" si="58"/>
        <v>0</v>
      </c>
      <c r="CC47" s="85">
        <f t="shared" si="64"/>
        <v>42408.3</v>
      </c>
      <c r="CD47" s="203">
        <f>+CC47/CA24</f>
        <v>0.10596776611694153</v>
      </c>
      <c r="CE47" s="172">
        <v>0</v>
      </c>
      <c r="CF47" s="173">
        <v>0</v>
      </c>
      <c r="CG47" s="174">
        <f t="shared" si="59"/>
        <v>0</v>
      </c>
      <c r="CH47" s="222">
        <v>0</v>
      </c>
      <c r="CI47" s="90">
        <v>0</v>
      </c>
      <c r="CJ47" s="258">
        <f t="shared" si="60"/>
        <v>42408.3</v>
      </c>
      <c r="CK47" s="120" t="s">
        <v>185</v>
      </c>
      <c r="CL47" s="274"/>
      <c r="CM47" s="38">
        <f t="shared" si="63"/>
        <v>0</v>
      </c>
      <c r="CN47" s="85">
        <f t="shared" si="18"/>
        <v>42408.3</v>
      </c>
      <c r="CO47" s="203">
        <f>+CN47/CL24</f>
        <v>0.10596776611694153</v>
      </c>
      <c r="CP47" s="172">
        <v>0</v>
      </c>
      <c r="CQ47" s="173">
        <v>0</v>
      </c>
      <c r="CR47" s="174">
        <f t="shared" si="20"/>
        <v>0</v>
      </c>
      <c r="CS47" s="222">
        <v>0</v>
      </c>
      <c r="CT47" s="90">
        <v>0</v>
      </c>
      <c r="CU47" s="258">
        <f t="shared" si="21"/>
        <v>42408.3</v>
      </c>
      <c r="CV47" s="120" t="s">
        <v>185</v>
      </c>
      <c r="CW47" s="274"/>
      <c r="CX47" s="38">
        <f t="shared" si="22"/>
        <v>0</v>
      </c>
      <c r="CY47" s="85">
        <f t="shared" si="23"/>
        <v>42408.3</v>
      </c>
      <c r="CZ47" s="203">
        <f>+CY47/CW24</f>
        <v>0.10596776611694153</v>
      </c>
      <c r="DA47" s="172">
        <v>0</v>
      </c>
      <c r="DB47" s="173">
        <v>0</v>
      </c>
      <c r="DC47" s="174">
        <f t="shared" si="25"/>
        <v>0</v>
      </c>
      <c r="DD47" s="222">
        <v>0</v>
      </c>
      <c r="DE47" s="90">
        <v>0</v>
      </c>
      <c r="DF47" s="258">
        <f t="shared" si="26"/>
        <v>42408.3</v>
      </c>
      <c r="DG47" s="120" t="s">
        <v>185</v>
      </c>
      <c r="DH47" s="274"/>
      <c r="DI47" s="283">
        <f t="shared" si="52"/>
        <v>0</v>
      </c>
      <c r="DJ47" s="85">
        <f t="shared" si="53"/>
        <v>42408.3</v>
      </c>
      <c r="DK47" s="203">
        <f>+DJ47/DH24</f>
        <v>0.10596776611694153</v>
      </c>
      <c r="DL47" s="172">
        <v>0</v>
      </c>
      <c r="DM47" s="173">
        <v>0</v>
      </c>
      <c r="DN47" s="174">
        <f t="shared" si="28"/>
        <v>0</v>
      </c>
      <c r="DO47" s="222">
        <v>0</v>
      </c>
      <c r="DP47" s="90">
        <v>0</v>
      </c>
      <c r="DQ47" s="258">
        <f t="shared" si="50"/>
        <v>42408.3</v>
      </c>
    </row>
    <row r="48" spans="1:121" s="21" customFormat="1" ht="22.5" customHeight="1">
      <c r="A48" s="250"/>
      <c r="B48" s="251"/>
      <c r="C48" s="211"/>
      <c r="D48" s="252"/>
      <c r="E48" s="253"/>
      <c r="F48" s="254"/>
      <c r="G48" s="213"/>
      <c r="H48" s="255"/>
      <c r="I48" s="256"/>
      <c r="J48" s="212"/>
      <c r="K48" s="252"/>
      <c r="L48" s="250"/>
      <c r="M48" s="274"/>
      <c r="N48" s="211"/>
      <c r="O48" s="252"/>
      <c r="P48" s="253"/>
      <c r="Q48" s="254"/>
      <c r="R48" s="213"/>
      <c r="S48" s="255"/>
      <c r="T48" s="256"/>
      <c r="U48" s="212"/>
      <c r="V48" s="252"/>
      <c r="W48" s="250"/>
      <c r="X48" s="274"/>
      <c r="Y48" s="211"/>
      <c r="Z48" s="252"/>
      <c r="AA48" s="253"/>
      <c r="AB48" s="254"/>
      <c r="AC48" s="213"/>
      <c r="AD48" s="255"/>
      <c r="AE48" s="256"/>
      <c r="AF48" s="212"/>
      <c r="AG48" s="252"/>
      <c r="AH48" s="250"/>
      <c r="AI48" s="274"/>
      <c r="AJ48" s="211"/>
      <c r="AK48" s="252"/>
      <c r="AL48" s="253"/>
      <c r="AM48" s="254"/>
      <c r="AN48" s="213"/>
      <c r="AO48" s="255"/>
      <c r="AP48" s="256"/>
      <c r="AQ48" s="212"/>
      <c r="AR48" s="252"/>
      <c r="AS48" s="250"/>
      <c r="AT48" s="274"/>
      <c r="AU48" s="211"/>
      <c r="AV48" s="252"/>
      <c r="AW48" s="253"/>
      <c r="AX48" s="254"/>
      <c r="AY48" s="213"/>
      <c r="AZ48" s="255"/>
      <c r="BA48" s="256"/>
      <c r="BB48" s="212"/>
      <c r="BC48" s="275"/>
      <c r="BD48" s="250"/>
      <c r="BE48" s="274"/>
      <c r="BF48" s="211"/>
      <c r="BG48" s="252"/>
      <c r="BH48" s="253"/>
      <c r="BI48" s="254"/>
      <c r="BJ48" s="213"/>
      <c r="BK48" s="255"/>
      <c r="BL48" s="256"/>
      <c r="BM48" s="212"/>
      <c r="BN48" s="275"/>
      <c r="BO48" s="250" t="s">
        <v>186</v>
      </c>
      <c r="BP48" s="274"/>
      <c r="BQ48" s="38">
        <f t="shared" si="57"/>
        <v>2932.26</v>
      </c>
      <c r="BR48" s="85">
        <f>+BY48-BV48</f>
        <v>2932.26</v>
      </c>
      <c r="BS48" s="203">
        <f>+BR48/BP24</f>
        <v>0.007326986506746627</v>
      </c>
      <c r="BT48" s="172">
        <v>0</v>
      </c>
      <c r="BU48" s="173">
        <v>0</v>
      </c>
      <c r="BV48" s="174">
        <f t="shared" si="49"/>
        <v>0</v>
      </c>
      <c r="BW48" s="222">
        <v>0</v>
      </c>
      <c r="BX48" s="90">
        <v>2932.26</v>
      </c>
      <c r="BY48" s="258">
        <f t="shared" si="11"/>
        <v>2932.26</v>
      </c>
      <c r="BZ48" s="120" t="s">
        <v>186</v>
      </c>
      <c r="CA48" s="274"/>
      <c r="CB48" s="38">
        <f t="shared" si="58"/>
        <v>0</v>
      </c>
      <c r="CC48" s="85">
        <f t="shared" si="64"/>
        <v>2932.26</v>
      </c>
      <c r="CD48" s="203">
        <f>+CC48/CA24</f>
        <v>0.007326986506746627</v>
      </c>
      <c r="CE48" s="172">
        <v>0</v>
      </c>
      <c r="CF48" s="173">
        <v>0</v>
      </c>
      <c r="CG48" s="174">
        <f t="shared" si="59"/>
        <v>0</v>
      </c>
      <c r="CH48" s="222">
        <v>0</v>
      </c>
      <c r="CI48" s="90">
        <v>0</v>
      </c>
      <c r="CJ48" s="258">
        <f t="shared" si="60"/>
        <v>2932.26</v>
      </c>
      <c r="CK48" s="120" t="s">
        <v>186</v>
      </c>
      <c r="CL48" s="274"/>
      <c r="CM48" s="38">
        <f t="shared" si="63"/>
        <v>132</v>
      </c>
      <c r="CN48" s="85">
        <f t="shared" si="18"/>
        <v>3064.26</v>
      </c>
      <c r="CO48" s="203">
        <f>+CN48/CL24</f>
        <v>0.007656821589205397</v>
      </c>
      <c r="CP48" s="172">
        <v>0</v>
      </c>
      <c r="CQ48" s="173">
        <v>0</v>
      </c>
      <c r="CR48" s="174">
        <f t="shared" si="20"/>
        <v>0</v>
      </c>
      <c r="CS48" s="222">
        <v>0</v>
      </c>
      <c r="CT48" s="90">
        <v>132</v>
      </c>
      <c r="CU48" s="258">
        <f t="shared" si="21"/>
        <v>3064.26</v>
      </c>
      <c r="CV48" s="120" t="s">
        <v>186</v>
      </c>
      <c r="CW48" s="274"/>
      <c r="CX48" s="38">
        <f t="shared" si="22"/>
        <v>0</v>
      </c>
      <c r="CY48" s="85">
        <f t="shared" si="23"/>
        <v>3064.26</v>
      </c>
      <c r="CZ48" s="203">
        <f>+CY48/CW24</f>
        <v>0.007656821589205397</v>
      </c>
      <c r="DA48" s="172">
        <v>0</v>
      </c>
      <c r="DB48" s="173">
        <v>0</v>
      </c>
      <c r="DC48" s="174">
        <f t="shared" si="25"/>
        <v>0</v>
      </c>
      <c r="DD48" s="222">
        <v>0</v>
      </c>
      <c r="DE48" s="90">
        <v>0</v>
      </c>
      <c r="DF48" s="258">
        <f t="shared" si="26"/>
        <v>3064.26</v>
      </c>
      <c r="DG48" s="120" t="s">
        <v>186</v>
      </c>
      <c r="DH48" s="274"/>
      <c r="DI48" s="283">
        <f t="shared" si="52"/>
        <v>0</v>
      </c>
      <c r="DJ48" s="85">
        <f t="shared" si="53"/>
        <v>3064.26</v>
      </c>
      <c r="DK48" s="203">
        <f>+DJ48/DH24</f>
        <v>0.007656821589205397</v>
      </c>
      <c r="DL48" s="172">
        <v>0</v>
      </c>
      <c r="DM48" s="173">
        <v>0</v>
      </c>
      <c r="DN48" s="174">
        <f t="shared" si="28"/>
        <v>0</v>
      </c>
      <c r="DO48" s="222">
        <v>0</v>
      </c>
      <c r="DP48" s="90">
        <v>0</v>
      </c>
      <c r="DQ48" s="258">
        <f t="shared" si="50"/>
        <v>3064.26</v>
      </c>
    </row>
    <row r="49" spans="1:121" s="21" customFormat="1" ht="22.5" customHeight="1">
      <c r="A49" s="250"/>
      <c r="B49" s="251"/>
      <c r="C49" s="211"/>
      <c r="D49" s="252"/>
      <c r="E49" s="253"/>
      <c r="F49" s="254"/>
      <c r="G49" s="213"/>
      <c r="H49" s="255"/>
      <c r="I49" s="256"/>
      <c r="J49" s="212"/>
      <c r="K49" s="252"/>
      <c r="L49" s="250"/>
      <c r="M49" s="274"/>
      <c r="N49" s="211"/>
      <c r="O49" s="252"/>
      <c r="P49" s="253"/>
      <c r="Q49" s="254"/>
      <c r="R49" s="213"/>
      <c r="S49" s="255"/>
      <c r="T49" s="256"/>
      <c r="U49" s="212"/>
      <c r="V49" s="252"/>
      <c r="W49" s="250"/>
      <c r="X49" s="274"/>
      <c r="Y49" s="211"/>
      <c r="Z49" s="252"/>
      <c r="AA49" s="253"/>
      <c r="AB49" s="254"/>
      <c r="AC49" s="213"/>
      <c r="AD49" s="255"/>
      <c r="AE49" s="256"/>
      <c r="AF49" s="212"/>
      <c r="AG49" s="252"/>
      <c r="AH49" s="250"/>
      <c r="AI49" s="274"/>
      <c r="AJ49" s="211"/>
      <c r="AK49" s="252"/>
      <c r="AL49" s="253"/>
      <c r="AM49" s="254"/>
      <c r="AN49" s="213"/>
      <c r="AO49" s="255"/>
      <c r="AP49" s="256"/>
      <c r="AQ49" s="212"/>
      <c r="AR49" s="252"/>
      <c r="AS49" s="250"/>
      <c r="AT49" s="274"/>
      <c r="AU49" s="211"/>
      <c r="AV49" s="252"/>
      <c r="AW49" s="253"/>
      <c r="AX49" s="254"/>
      <c r="AY49" s="213"/>
      <c r="AZ49" s="255"/>
      <c r="BA49" s="256"/>
      <c r="BB49" s="212"/>
      <c r="BC49" s="275"/>
      <c r="BD49" s="250"/>
      <c r="BE49" s="274"/>
      <c r="BF49" s="211"/>
      <c r="BG49" s="252"/>
      <c r="BH49" s="253"/>
      <c r="BI49" s="254"/>
      <c r="BJ49" s="213"/>
      <c r="BK49" s="255"/>
      <c r="BL49" s="256"/>
      <c r="BM49" s="212"/>
      <c r="BN49" s="275"/>
      <c r="BO49" s="250"/>
      <c r="BP49" s="274"/>
      <c r="BQ49" s="211"/>
      <c r="BR49" s="252"/>
      <c r="BS49" s="253"/>
      <c r="BT49" s="254"/>
      <c r="BU49" s="213"/>
      <c r="BV49" s="255"/>
      <c r="BW49" s="256"/>
      <c r="BX49" s="212"/>
      <c r="BY49" s="275"/>
      <c r="BZ49" s="120" t="s">
        <v>193</v>
      </c>
      <c r="CA49" s="274"/>
      <c r="CB49" s="38">
        <f>+CI49-CF49</f>
        <v>220</v>
      </c>
      <c r="CC49" s="85">
        <f t="shared" si="64"/>
        <v>220</v>
      </c>
      <c r="CD49" s="203">
        <f>+CC49/CA24</f>
        <v>0.0005497251374312844</v>
      </c>
      <c r="CE49" s="172">
        <v>0</v>
      </c>
      <c r="CF49" s="173">
        <v>0</v>
      </c>
      <c r="CG49" s="174">
        <f t="shared" si="59"/>
        <v>0</v>
      </c>
      <c r="CH49" s="222">
        <v>0</v>
      </c>
      <c r="CI49" s="90">
        <v>220</v>
      </c>
      <c r="CJ49" s="258">
        <f t="shared" si="60"/>
        <v>220</v>
      </c>
      <c r="CK49" s="120" t="s">
        <v>193</v>
      </c>
      <c r="CL49" s="274"/>
      <c r="CM49" s="38">
        <f>+CT49-CQ49</f>
        <v>0</v>
      </c>
      <c r="CN49" s="85">
        <f t="shared" si="18"/>
        <v>220</v>
      </c>
      <c r="CO49" s="203">
        <f>+CN49/CL24</f>
        <v>0.0005497251374312844</v>
      </c>
      <c r="CP49" s="172">
        <v>0</v>
      </c>
      <c r="CQ49" s="173">
        <v>0</v>
      </c>
      <c r="CR49" s="174">
        <f t="shared" si="20"/>
        <v>0</v>
      </c>
      <c r="CS49" s="222">
        <v>0</v>
      </c>
      <c r="CT49" s="90">
        <v>0</v>
      </c>
      <c r="CU49" s="258">
        <f t="shared" si="21"/>
        <v>220</v>
      </c>
      <c r="CV49" s="120" t="s">
        <v>193</v>
      </c>
      <c r="CW49" s="274"/>
      <c r="CX49" s="38">
        <f>+DE49-DB49</f>
        <v>0</v>
      </c>
      <c r="CY49" s="85">
        <f t="shared" si="23"/>
        <v>220</v>
      </c>
      <c r="CZ49" s="203">
        <f>+CY49/CW24</f>
        <v>0.0005497251374312844</v>
      </c>
      <c r="DA49" s="172">
        <v>0</v>
      </c>
      <c r="DB49" s="173">
        <v>0</v>
      </c>
      <c r="DC49" s="174">
        <f t="shared" si="25"/>
        <v>0</v>
      </c>
      <c r="DD49" s="222">
        <v>0</v>
      </c>
      <c r="DE49" s="90">
        <v>0</v>
      </c>
      <c r="DF49" s="258">
        <f t="shared" si="26"/>
        <v>220</v>
      </c>
      <c r="DG49" s="120" t="s">
        <v>193</v>
      </c>
      <c r="DH49" s="274"/>
      <c r="DI49" s="283">
        <f>+DP49-DM49</f>
        <v>0</v>
      </c>
      <c r="DJ49" s="85">
        <f t="shared" si="53"/>
        <v>220</v>
      </c>
      <c r="DK49" s="203">
        <f>+DJ49/DH24</f>
        <v>0.0005497251374312844</v>
      </c>
      <c r="DL49" s="172">
        <v>0</v>
      </c>
      <c r="DM49" s="173">
        <v>0</v>
      </c>
      <c r="DN49" s="174">
        <f t="shared" si="28"/>
        <v>0</v>
      </c>
      <c r="DO49" s="222">
        <v>0</v>
      </c>
      <c r="DP49" s="90">
        <v>0</v>
      </c>
      <c r="DQ49" s="258">
        <f t="shared" si="50"/>
        <v>220</v>
      </c>
    </row>
    <row r="50" spans="1:121" s="21" customFormat="1" ht="22.5" customHeight="1">
      <c r="A50" s="250"/>
      <c r="B50" s="251"/>
      <c r="C50" s="211"/>
      <c r="D50" s="252"/>
      <c r="E50" s="253"/>
      <c r="F50" s="254"/>
      <c r="G50" s="213"/>
      <c r="H50" s="255"/>
      <c r="I50" s="256"/>
      <c r="J50" s="212"/>
      <c r="K50" s="252"/>
      <c r="L50" s="250"/>
      <c r="M50" s="274"/>
      <c r="N50" s="211"/>
      <c r="O50" s="252"/>
      <c r="P50" s="253"/>
      <c r="Q50" s="254"/>
      <c r="R50" s="213"/>
      <c r="S50" s="255"/>
      <c r="T50" s="256"/>
      <c r="U50" s="212"/>
      <c r="V50" s="252"/>
      <c r="W50" s="250"/>
      <c r="X50" s="274"/>
      <c r="Y50" s="211"/>
      <c r="Z50" s="252"/>
      <c r="AA50" s="253"/>
      <c r="AB50" s="254"/>
      <c r="AC50" s="213"/>
      <c r="AD50" s="255"/>
      <c r="AE50" s="256"/>
      <c r="AF50" s="212"/>
      <c r="AG50" s="252"/>
      <c r="AH50" s="250"/>
      <c r="AI50" s="274"/>
      <c r="AJ50" s="211"/>
      <c r="AK50" s="252"/>
      <c r="AL50" s="253"/>
      <c r="AM50" s="254"/>
      <c r="AN50" s="213"/>
      <c r="AO50" s="255"/>
      <c r="AP50" s="256"/>
      <c r="AQ50" s="212"/>
      <c r="AR50" s="252"/>
      <c r="AS50" s="250"/>
      <c r="AT50" s="274"/>
      <c r="AU50" s="211"/>
      <c r="AV50" s="252"/>
      <c r="AW50" s="253"/>
      <c r="AX50" s="254"/>
      <c r="AY50" s="213"/>
      <c r="AZ50" s="255"/>
      <c r="BA50" s="256"/>
      <c r="BB50" s="212"/>
      <c r="BC50" s="275"/>
      <c r="BD50" s="250"/>
      <c r="BE50" s="274"/>
      <c r="BF50" s="211"/>
      <c r="BG50" s="252"/>
      <c r="BH50" s="253"/>
      <c r="BI50" s="254"/>
      <c r="BJ50" s="213"/>
      <c r="BK50" s="255"/>
      <c r="BL50" s="256"/>
      <c r="BM50" s="212"/>
      <c r="BN50" s="275"/>
      <c r="BO50" s="250"/>
      <c r="BP50" s="274"/>
      <c r="BQ50" s="211"/>
      <c r="BR50" s="252"/>
      <c r="BS50" s="253"/>
      <c r="BT50" s="254"/>
      <c r="BU50" s="213"/>
      <c r="BV50" s="255"/>
      <c r="BW50" s="256"/>
      <c r="BX50" s="212"/>
      <c r="BY50" s="275"/>
      <c r="BZ50" s="250" t="s">
        <v>194</v>
      </c>
      <c r="CA50" s="274"/>
      <c r="CB50" s="38">
        <f>+CI50-CF50</f>
        <v>320</v>
      </c>
      <c r="CC50" s="85">
        <f t="shared" si="64"/>
        <v>320</v>
      </c>
      <c r="CD50" s="203">
        <f>+CC50/CA24</f>
        <v>0.00079960019990005</v>
      </c>
      <c r="CE50" s="172">
        <v>0</v>
      </c>
      <c r="CF50" s="173">
        <v>0</v>
      </c>
      <c r="CG50" s="174">
        <f t="shared" si="59"/>
        <v>0</v>
      </c>
      <c r="CH50" s="222">
        <v>0</v>
      </c>
      <c r="CI50" s="90">
        <v>320</v>
      </c>
      <c r="CJ50" s="258">
        <f t="shared" si="60"/>
        <v>320</v>
      </c>
      <c r="CK50" s="250" t="s">
        <v>194</v>
      </c>
      <c r="CL50" s="274"/>
      <c r="CM50" s="38">
        <f>+CT50-CQ50</f>
        <v>3900</v>
      </c>
      <c r="CN50" s="85">
        <f t="shared" si="18"/>
        <v>4220</v>
      </c>
      <c r="CO50" s="203">
        <f>+CN50/CL24</f>
        <v>0.01054472763618191</v>
      </c>
      <c r="CP50" s="172">
        <v>0</v>
      </c>
      <c r="CQ50" s="173">
        <v>0</v>
      </c>
      <c r="CR50" s="174">
        <f t="shared" si="20"/>
        <v>0</v>
      </c>
      <c r="CS50" s="222">
        <v>0</v>
      </c>
      <c r="CT50" s="90">
        <v>3900</v>
      </c>
      <c r="CU50" s="258">
        <f t="shared" si="21"/>
        <v>4220</v>
      </c>
      <c r="CV50" s="250" t="s">
        <v>194</v>
      </c>
      <c r="CW50" s="274"/>
      <c r="CX50" s="38">
        <f>+DE50-DB50</f>
        <v>2878.3</v>
      </c>
      <c r="CY50" s="85">
        <f t="shared" si="23"/>
        <v>7098.3</v>
      </c>
      <c r="CZ50" s="203">
        <f>+CY50/CW24</f>
        <v>0.01773688155922039</v>
      </c>
      <c r="DA50" s="172">
        <v>0</v>
      </c>
      <c r="DB50" s="173">
        <v>0</v>
      </c>
      <c r="DC50" s="174">
        <f t="shared" si="25"/>
        <v>0</v>
      </c>
      <c r="DD50" s="222">
        <v>0</v>
      </c>
      <c r="DE50" s="90">
        <v>2878.3</v>
      </c>
      <c r="DF50" s="258">
        <f t="shared" si="26"/>
        <v>7098.3</v>
      </c>
      <c r="DG50" s="250" t="s">
        <v>194</v>
      </c>
      <c r="DH50" s="274"/>
      <c r="DI50" s="283">
        <f>+DP50-DM50</f>
        <v>0</v>
      </c>
      <c r="DJ50" s="85">
        <f t="shared" si="53"/>
        <v>7098.3</v>
      </c>
      <c r="DK50" s="203">
        <f>+DJ50/DH24</f>
        <v>0.01773688155922039</v>
      </c>
      <c r="DL50" s="172">
        <v>0</v>
      </c>
      <c r="DM50" s="173">
        <v>0</v>
      </c>
      <c r="DN50" s="174">
        <f t="shared" si="28"/>
        <v>0</v>
      </c>
      <c r="DO50" s="222">
        <v>0</v>
      </c>
      <c r="DP50" s="90">
        <v>0</v>
      </c>
      <c r="DQ50" s="258">
        <f t="shared" si="50"/>
        <v>7098.3</v>
      </c>
    </row>
    <row r="51" spans="1:121" s="21" customFormat="1" ht="22.5" customHeight="1" thickBot="1">
      <c r="A51" s="122" t="s">
        <v>12</v>
      </c>
      <c r="B51" s="82">
        <f>SUM(B10:B41)</f>
        <v>141000000.00000003</v>
      </c>
      <c r="C51" s="88">
        <f>SUM(C10:C44)</f>
        <v>6902245.01</v>
      </c>
      <c r="D51" s="86">
        <f>SUM(D10:D44)</f>
        <v>6902245.01</v>
      </c>
      <c r="E51" s="75">
        <f>+D51/B51</f>
        <v>0.04895209226950353</v>
      </c>
      <c r="F51" s="177">
        <f>SUM(F10:F44)</f>
        <v>8434000</v>
      </c>
      <c r="G51" s="178">
        <f>SUM(G10:G43)</f>
        <v>121940.76</v>
      </c>
      <c r="H51" s="179">
        <f>SUM(H10:H42)</f>
        <v>121940.76</v>
      </c>
      <c r="I51" s="180">
        <f>+H51/F51</f>
        <v>0.01445823571259189</v>
      </c>
      <c r="J51" s="92">
        <f>SUM(J10:J44)</f>
        <v>7024185.77</v>
      </c>
      <c r="K51" s="86">
        <f>SUM(K10:K44)</f>
        <v>7024185.77</v>
      </c>
      <c r="L51" s="122" t="s">
        <v>12</v>
      </c>
      <c r="M51" s="82">
        <f>SUM(M10:M41)</f>
        <v>141000000.00000003</v>
      </c>
      <c r="N51" s="88">
        <f>SUM(N10:N45)</f>
        <v>10336217.05</v>
      </c>
      <c r="O51" s="86">
        <f>SUM(O10:O45)</f>
        <v>17238462.06</v>
      </c>
      <c r="P51" s="75">
        <f>+O51/M51</f>
        <v>0.12225859617021273</v>
      </c>
      <c r="Q51" s="177">
        <f>SUM(Q10:Q45)</f>
        <v>8434000</v>
      </c>
      <c r="R51" s="178">
        <f>SUM(R10:R43)</f>
        <v>51444.14</v>
      </c>
      <c r="S51" s="179">
        <f>SUM(S10:S42)</f>
        <v>173384.9</v>
      </c>
      <c r="T51" s="180">
        <f>+S51/Q51</f>
        <v>0.020557849181882856</v>
      </c>
      <c r="U51" s="92">
        <f>SUM(U10:U45)</f>
        <v>10387661.190000001</v>
      </c>
      <c r="V51" s="86">
        <f>SUM(V10:V45)</f>
        <v>17411846.96</v>
      </c>
      <c r="W51" s="122" t="s">
        <v>12</v>
      </c>
      <c r="X51" s="82">
        <f>SUM(X10:X41)</f>
        <v>141000000.00000003</v>
      </c>
      <c r="Y51" s="88">
        <f>SUM(Y10:Y45)</f>
        <v>9333346.250000002</v>
      </c>
      <c r="Z51" s="86">
        <f>SUM(Z10:Z45)</f>
        <v>26571808.310000002</v>
      </c>
      <c r="AA51" s="75">
        <f>+Z51/X51</f>
        <v>0.18845254120567373</v>
      </c>
      <c r="AB51" s="177">
        <f>SUM(AB10:AB45)</f>
        <v>8434000</v>
      </c>
      <c r="AC51" s="178">
        <f>SUM(AC10:AC43)</f>
        <v>309296.87</v>
      </c>
      <c r="AD51" s="179">
        <f>SUM(AD10:AD42)</f>
        <v>482681.76999999996</v>
      </c>
      <c r="AE51" s="180">
        <f>+AD51/AB51</f>
        <v>0.05723046834242352</v>
      </c>
      <c r="AF51" s="92">
        <f>SUM(AF10:AF45)</f>
        <v>9642643.120000001</v>
      </c>
      <c r="AG51" s="86">
        <f>SUM(AG10:AG45)</f>
        <v>27054490.08</v>
      </c>
      <c r="AH51" s="122" t="s">
        <v>12</v>
      </c>
      <c r="AI51" s="82">
        <f>SUM(AI10:AI41)</f>
        <v>141000000.00000003</v>
      </c>
      <c r="AJ51" s="88">
        <f>SUM(AJ10:AJ45)</f>
        <v>10090698.18</v>
      </c>
      <c r="AK51" s="86">
        <f>SUM(AK10:AK45)</f>
        <v>36662506.489999995</v>
      </c>
      <c r="AL51" s="75">
        <f>+AK51/AI51</f>
        <v>0.2600177765248226</v>
      </c>
      <c r="AM51" s="177">
        <f>SUM(AM10:AM45)</f>
        <v>8434000</v>
      </c>
      <c r="AN51" s="178">
        <f>SUM(AN10:AN43)</f>
        <v>197923.74</v>
      </c>
      <c r="AO51" s="179">
        <f>SUM(AO10:AO42)</f>
        <v>680605.51</v>
      </c>
      <c r="AP51" s="180">
        <f>+AO51/AM51</f>
        <v>0.08069783139672754</v>
      </c>
      <c r="AQ51" s="92">
        <f>SUM(AQ10:AQ45)</f>
        <v>10288621.92</v>
      </c>
      <c r="AR51" s="86">
        <f>SUM(AR10:AR45)</f>
        <v>37343112</v>
      </c>
      <c r="AS51" s="122" t="s">
        <v>12</v>
      </c>
      <c r="AT51" s="82">
        <f>SUM(AT10:AT41)</f>
        <v>141000000</v>
      </c>
      <c r="AU51" s="88">
        <f>SUM(AU10:AU45)</f>
        <v>9775639.2</v>
      </c>
      <c r="AV51" s="86">
        <f>SUM(AV10:AV45)</f>
        <v>46438145.69</v>
      </c>
      <c r="AW51" s="75">
        <f>+AV51/AT51</f>
        <v>0.3293485509929078</v>
      </c>
      <c r="AX51" s="177">
        <f>SUM(AX10:AX45)</f>
        <v>8434000</v>
      </c>
      <c r="AY51" s="178">
        <f>SUM(AY10:AY43)</f>
        <v>633270.82</v>
      </c>
      <c r="AZ51" s="179">
        <f>SUM(AZ10:AZ42)</f>
        <v>1313876.33</v>
      </c>
      <c r="BA51" s="180">
        <f>+AZ51/AX51</f>
        <v>0.15578329736779703</v>
      </c>
      <c r="BB51" s="92">
        <f>SUM(BB10:BB45)</f>
        <v>10408910.02</v>
      </c>
      <c r="BC51" s="262">
        <f>SUM(BC10:BC45)</f>
        <v>47752022.02</v>
      </c>
      <c r="BD51" s="122" t="s">
        <v>12</v>
      </c>
      <c r="BE51" s="82">
        <f>SUM(BE10:BE41)</f>
        <v>141000000</v>
      </c>
      <c r="BF51" s="88">
        <f>SUM(BF10:BF46)</f>
        <v>3807121.03</v>
      </c>
      <c r="BG51" s="86">
        <f>SUM(BG10:BG46)</f>
        <v>50245266.72</v>
      </c>
      <c r="BH51" s="75">
        <f>+BG51/BE51</f>
        <v>0.3563494093617021</v>
      </c>
      <c r="BI51" s="177">
        <f>SUM(BI10:BI45)</f>
        <v>8434000</v>
      </c>
      <c r="BJ51" s="178">
        <f>SUM(BJ10:BJ43)</f>
        <v>7074.78</v>
      </c>
      <c r="BK51" s="179">
        <f>SUM(BK10:BK42)</f>
        <v>1320951.11</v>
      </c>
      <c r="BL51" s="180">
        <f>+BK51/BI51</f>
        <v>0.1566221377756699</v>
      </c>
      <c r="BM51" s="92">
        <f>SUM(BM10:BM46)</f>
        <v>3814195.8099999996</v>
      </c>
      <c r="BN51" s="262">
        <f>SUM(BN10:BN46)</f>
        <v>51566217.830000006</v>
      </c>
      <c r="BO51" s="122" t="s">
        <v>12</v>
      </c>
      <c r="BP51" s="82">
        <f>SUM(BP10:BP48)</f>
        <v>141000000</v>
      </c>
      <c r="BQ51" s="88">
        <f>SUM(BQ10:BQ48)</f>
        <v>22408760.310000002</v>
      </c>
      <c r="BR51" s="86">
        <f>SUM(BR10:BR48)</f>
        <v>72654027.03</v>
      </c>
      <c r="BS51" s="75">
        <f>+BR51/BP51</f>
        <v>0.5152767874468085</v>
      </c>
      <c r="BT51" s="177">
        <f>SUM(BT10:BT48)</f>
        <v>8434000</v>
      </c>
      <c r="BU51" s="178">
        <f>SUM(BU10:BU48)</f>
        <v>924375</v>
      </c>
      <c r="BV51" s="179">
        <f>SUM(BV10:BV48)</f>
        <v>2245326.11</v>
      </c>
      <c r="BW51" s="180">
        <f>+BV51/BT51</f>
        <v>0.2662231574579085</v>
      </c>
      <c r="BX51" s="92">
        <f>SUM(BX10:BX48)</f>
        <v>23333135.310000002</v>
      </c>
      <c r="BY51" s="262">
        <f>SUM(BY10:BY48)</f>
        <v>74899353.13999999</v>
      </c>
      <c r="BZ51" s="122" t="s">
        <v>12</v>
      </c>
      <c r="CA51" s="82">
        <f>SUM(CA10:CA48)</f>
        <v>141000000</v>
      </c>
      <c r="CB51" s="88">
        <f>SUM(CB10:CB50)</f>
        <v>9131216.33</v>
      </c>
      <c r="CC51" s="86">
        <f>SUM(CC10:CC50)</f>
        <v>81785243.36000001</v>
      </c>
      <c r="CD51" s="75">
        <f>+CC51/CA51</f>
        <v>0.5800371869503547</v>
      </c>
      <c r="CE51" s="177">
        <f>SUM(CE10:CE49)</f>
        <v>8434000</v>
      </c>
      <c r="CF51" s="178">
        <f>SUM(CF10:CF49)</f>
        <v>55743.5</v>
      </c>
      <c r="CG51" s="179">
        <f>SUM(CG10:CG48)</f>
        <v>2301069.61</v>
      </c>
      <c r="CH51" s="180">
        <f>+CG51/CE51</f>
        <v>0.2728325361631491</v>
      </c>
      <c r="CI51" s="92">
        <f>SUM(CI10:CI50)</f>
        <v>9186959.83</v>
      </c>
      <c r="CJ51" s="262">
        <f>SUM(CJ10:CJ50)</f>
        <v>84086312.97000001</v>
      </c>
      <c r="CK51" s="122" t="s">
        <v>12</v>
      </c>
      <c r="CL51" s="82">
        <f>SUM(CL10:CL48)</f>
        <v>141000000</v>
      </c>
      <c r="CM51" s="88">
        <f>SUM(CM10:CM50)</f>
        <v>8621218.27</v>
      </c>
      <c r="CN51" s="86">
        <f>SUM(CN10:CN50)</f>
        <v>90406461.63</v>
      </c>
      <c r="CO51" s="75">
        <f>+CN51/CL51</f>
        <v>0.6411805789361702</v>
      </c>
      <c r="CP51" s="177">
        <f>SUM(CP10:CP49)</f>
        <v>8434000</v>
      </c>
      <c r="CQ51" s="178">
        <f>SUM(CQ10:CQ49)</f>
        <v>367592</v>
      </c>
      <c r="CR51" s="179">
        <f>SUM(CR10:CR48)</f>
        <v>2668661.61</v>
      </c>
      <c r="CS51" s="180">
        <f>+CR51/CP51</f>
        <v>0.31641707493478777</v>
      </c>
      <c r="CT51" s="92">
        <f>SUM(CT10:CT50)</f>
        <v>8988810.27</v>
      </c>
      <c r="CU51" s="262">
        <f>SUM(CU10:CU50)</f>
        <v>93075123.24</v>
      </c>
      <c r="CV51" s="122" t="s">
        <v>12</v>
      </c>
      <c r="CW51" s="82">
        <f>SUM(CW10:CW48)</f>
        <v>141000000</v>
      </c>
      <c r="CX51" s="88">
        <f>SUM(CX10:CX50)</f>
        <v>16494852.120000001</v>
      </c>
      <c r="CY51" s="86">
        <f>SUM(CY10:CY50)</f>
        <v>106901313.75</v>
      </c>
      <c r="CZ51" s="75">
        <f>+CY51/CW51</f>
        <v>0.7581653457446809</v>
      </c>
      <c r="DA51" s="177">
        <f>SUM(DA10:DA49)</f>
        <v>8434000</v>
      </c>
      <c r="DB51" s="178">
        <f>SUM(DB10:DB49)</f>
        <v>332410.5</v>
      </c>
      <c r="DC51" s="179">
        <f>SUM(DC10:DC48)</f>
        <v>3001072.11</v>
      </c>
      <c r="DD51" s="180">
        <f>+DC51/DA51</f>
        <v>0.35583022409295706</v>
      </c>
      <c r="DE51" s="92">
        <f>SUM(DE10:DE50)</f>
        <v>16827262.62</v>
      </c>
      <c r="DF51" s="262">
        <f>SUM(DF10:DF50)</f>
        <v>109902385.86</v>
      </c>
      <c r="DG51" s="122" t="s">
        <v>12</v>
      </c>
      <c r="DH51" s="82">
        <f>SUM(DH10:DH48)</f>
        <v>141000000</v>
      </c>
      <c r="DI51" s="287">
        <f>SUM(DI10:DI50)</f>
        <v>14818553.379999999</v>
      </c>
      <c r="DJ51" s="86">
        <f>SUM(DJ10:DJ50)</f>
        <v>121522777.94999999</v>
      </c>
      <c r="DK51" s="75">
        <f>+DJ51/DH51</f>
        <v>0.8618636734042552</v>
      </c>
      <c r="DL51" s="177">
        <f>SUM(DL10:DL49)</f>
        <v>8434000</v>
      </c>
      <c r="DM51" s="178">
        <f>SUM(DM10:DM49)</f>
        <v>338340.5</v>
      </c>
      <c r="DN51" s="179">
        <f>SUM(DN10:DN48)</f>
        <v>3339412.61</v>
      </c>
      <c r="DO51" s="180">
        <f>+DN51/DL51</f>
        <v>0.3959464797249229</v>
      </c>
      <c r="DP51" s="92">
        <f>SUM(DP10:DP50)</f>
        <v>14959804.7</v>
      </c>
      <c r="DQ51" s="262">
        <f>SUM(DQ10:DQ50)</f>
        <v>124862190.55999999</v>
      </c>
    </row>
    <row r="52" spans="1:121" s="21" customFormat="1" ht="22.5" customHeight="1" thickTop="1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4"/>
      <c r="AT52" s="33"/>
      <c r="AU52" s="33"/>
      <c r="AV52" s="33"/>
      <c r="AW52" s="33"/>
      <c r="AX52" s="33"/>
      <c r="AY52" s="33"/>
      <c r="AZ52" s="33"/>
      <c r="BA52" s="33"/>
      <c r="BB52" s="33"/>
      <c r="BC52" s="263"/>
      <c r="BD52" s="34"/>
      <c r="BE52" s="33"/>
      <c r="BF52" s="33"/>
      <c r="BG52" s="33"/>
      <c r="BH52" s="33"/>
      <c r="BI52" s="33"/>
      <c r="BJ52" s="33"/>
      <c r="BK52" s="33"/>
      <c r="BL52" s="33"/>
      <c r="BM52" s="33"/>
      <c r="BN52" s="263"/>
      <c r="BO52" s="34"/>
      <c r="BP52" s="33"/>
      <c r="BQ52" s="33"/>
      <c r="BR52" s="33"/>
      <c r="BS52" s="33"/>
      <c r="BT52" s="33"/>
      <c r="BU52" s="33"/>
      <c r="BV52" s="33"/>
      <c r="BW52" s="33"/>
      <c r="BX52" s="33"/>
      <c r="BY52" s="263"/>
      <c r="BZ52" s="34"/>
      <c r="CA52" s="33"/>
      <c r="CB52" s="33"/>
      <c r="CC52" s="33"/>
      <c r="CD52" s="33"/>
      <c r="CE52" s="33"/>
      <c r="CF52" s="33"/>
      <c r="CG52" s="33"/>
      <c r="CH52" s="33"/>
      <c r="CI52" s="33"/>
      <c r="CJ52" s="263"/>
      <c r="CK52" s="34"/>
      <c r="CL52" s="33"/>
      <c r="CM52" s="33"/>
      <c r="CN52" s="33"/>
      <c r="CO52" s="33"/>
      <c r="CP52" s="33"/>
      <c r="CQ52" s="33"/>
      <c r="CR52" s="33"/>
      <c r="CS52" s="33"/>
      <c r="CT52" s="33"/>
      <c r="CU52" s="263"/>
      <c r="CV52" s="34"/>
      <c r="CW52" s="33"/>
      <c r="CX52" s="33"/>
      <c r="CY52" s="33"/>
      <c r="CZ52" s="33"/>
      <c r="DA52" s="33"/>
      <c r="DB52" s="33"/>
      <c r="DC52" s="33"/>
      <c r="DD52" s="33"/>
      <c r="DE52" s="33"/>
      <c r="DF52" s="263"/>
      <c r="DG52" s="34"/>
      <c r="DH52" s="33"/>
      <c r="DI52" s="288"/>
      <c r="DJ52" s="33"/>
      <c r="DK52" s="33"/>
      <c r="DL52" s="33"/>
      <c r="DM52" s="33"/>
      <c r="DN52" s="33"/>
      <c r="DO52" s="33"/>
      <c r="DP52" s="33"/>
      <c r="DQ52" s="263"/>
    </row>
    <row r="53" spans="1:121" s="21" customFormat="1" ht="22.5" customHeight="1">
      <c r="A53" s="35"/>
      <c r="B53" s="36"/>
      <c r="C53" s="36"/>
      <c r="D53" s="36"/>
      <c r="E53" s="33"/>
      <c r="F53" s="36"/>
      <c r="G53" s="36"/>
      <c r="H53" s="36"/>
      <c r="I53" s="33"/>
      <c r="J53" s="36"/>
      <c r="K53" s="36"/>
      <c r="L53" s="35"/>
      <c r="M53" s="36"/>
      <c r="N53" s="36"/>
      <c r="O53" s="36"/>
      <c r="P53" s="33"/>
      <c r="Q53" s="36"/>
      <c r="R53" s="36"/>
      <c r="S53" s="36"/>
      <c r="T53" s="33"/>
      <c r="U53" s="36"/>
      <c r="V53" s="36"/>
      <c r="W53" s="35"/>
      <c r="X53" s="36"/>
      <c r="Y53" s="36"/>
      <c r="Z53" s="36"/>
      <c r="AA53" s="33"/>
      <c r="AB53" s="36"/>
      <c r="AC53" s="36"/>
      <c r="AD53" s="36"/>
      <c r="AE53" s="33"/>
      <c r="AF53" s="36"/>
      <c r="AG53" s="36"/>
      <c r="AH53" s="35"/>
      <c r="AI53" s="36"/>
      <c r="AJ53" s="36"/>
      <c r="AK53" s="36"/>
      <c r="AL53" s="33"/>
      <c r="AM53" s="36"/>
      <c r="AN53" s="36"/>
      <c r="AO53" s="36"/>
      <c r="AP53" s="33"/>
      <c r="AQ53" s="36"/>
      <c r="AR53" s="36"/>
      <c r="AS53" s="35"/>
      <c r="AT53" s="36"/>
      <c r="AU53" s="36"/>
      <c r="AV53" s="36"/>
      <c r="AW53" s="33"/>
      <c r="AX53" s="36"/>
      <c r="AY53" s="36"/>
      <c r="AZ53" s="36"/>
      <c r="BA53" s="33"/>
      <c r="BB53" s="36"/>
      <c r="BC53" s="264"/>
      <c r="BD53" s="35"/>
      <c r="BE53" s="36"/>
      <c r="BF53" s="36"/>
      <c r="BG53" s="36"/>
      <c r="BH53" s="33"/>
      <c r="BI53" s="36"/>
      <c r="BJ53" s="36"/>
      <c r="BK53" s="36"/>
      <c r="BL53" s="33"/>
      <c r="BM53" s="36"/>
      <c r="BN53" s="264"/>
      <c r="BO53" s="35"/>
      <c r="BP53" s="36"/>
      <c r="BQ53" s="36"/>
      <c r="BR53" s="36"/>
      <c r="BS53" s="33"/>
      <c r="BT53" s="36"/>
      <c r="BU53" s="36"/>
      <c r="BV53" s="36"/>
      <c r="BW53" s="33"/>
      <c r="BX53" s="36"/>
      <c r="BY53" s="264"/>
      <c r="BZ53" s="35"/>
      <c r="CA53" s="36"/>
      <c r="CB53" s="36"/>
      <c r="CC53" s="36"/>
      <c r="CD53" s="33"/>
      <c r="CE53" s="36"/>
      <c r="CF53" s="36"/>
      <c r="CG53" s="36"/>
      <c r="CH53" s="33"/>
      <c r="CI53" s="36"/>
      <c r="CJ53" s="264"/>
      <c r="CK53" s="35"/>
      <c r="CL53" s="36"/>
      <c r="CM53" s="36"/>
      <c r="CN53" s="36"/>
      <c r="CO53" s="33"/>
      <c r="CP53" s="36"/>
      <c r="CQ53" s="36"/>
      <c r="CR53" s="36"/>
      <c r="CS53" s="33"/>
      <c r="CT53" s="36"/>
      <c r="CU53" s="264"/>
      <c r="CV53" s="35"/>
      <c r="CW53" s="36"/>
      <c r="CX53" s="36"/>
      <c r="CY53" s="36"/>
      <c r="CZ53" s="33"/>
      <c r="DA53" s="36"/>
      <c r="DB53" s="36"/>
      <c r="DC53" s="36"/>
      <c r="DD53" s="33"/>
      <c r="DE53" s="36"/>
      <c r="DF53" s="264"/>
      <c r="DG53" s="35"/>
      <c r="DH53" s="36"/>
      <c r="DI53" s="289"/>
      <c r="DJ53" s="36"/>
      <c r="DK53" s="33"/>
      <c r="DL53" s="36"/>
      <c r="DM53" s="36"/>
      <c r="DN53" s="36"/>
      <c r="DO53" s="33"/>
      <c r="DP53" s="36"/>
      <c r="DQ53" s="264"/>
    </row>
    <row r="54" spans="1:121" s="21" customFormat="1" ht="22.5" customHeight="1" thickBot="1">
      <c r="A54" s="35"/>
      <c r="B54" s="36"/>
      <c r="C54" s="36"/>
      <c r="D54" s="36"/>
      <c r="E54" s="33"/>
      <c r="F54" s="36"/>
      <c r="G54" s="36"/>
      <c r="H54" s="36"/>
      <c r="I54" s="33"/>
      <c r="J54" s="36"/>
      <c r="K54" s="36"/>
      <c r="L54" s="35"/>
      <c r="M54" s="36"/>
      <c r="N54" s="36"/>
      <c r="O54" s="36"/>
      <c r="P54" s="33"/>
      <c r="Q54" s="36"/>
      <c r="R54" s="36"/>
      <c r="S54" s="36"/>
      <c r="T54" s="33"/>
      <c r="U54" s="36"/>
      <c r="V54" s="36"/>
      <c r="W54" s="35"/>
      <c r="X54" s="36"/>
      <c r="Y54" s="36"/>
      <c r="Z54" s="36"/>
      <c r="AA54" s="33"/>
      <c r="AB54" s="36"/>
      <c r="AC54" s="36"/>
      <c r="AD54" s="36"/>
      <c r="AE54" s="33"/>
      <c r="AF54" s="36"/>
      <c r="AG54" s="36"/>
      <c r="AH54" s="35"/>
      <c r="AI54" s="36"/>
      <c r="AJ54" s="36"/>
      <c r="AK54" s="36"/>
      <c r="AL54" s="33"/>
      <c r="AM54" s="36"/>
      <c r="AN54" s="36"/>
      <c r="AO54" s="36"/>
      <c r="AP54" s="33"/>
      <c r="AQ54" s="36"/>
      <c r="AR54" s="36"/>
      <c r="AS54" s="35"/>
      <c r="AT54" s="36"/>
      <c r="AU54" s="36"/>
      <c r="AV54" s="36"/>
      <c r="AW54" s="33"/>
      <c r="AX54" s="36"/>
      <c r="AY54" s="36"/>
      <c r="AZ54" s="36"/>
      <c r="BA54" s="33"/>
      <c r="BB54" s="36"/>
      <c r="BC54" s="264"/>
      <c r="BD54" s="35"/>
      <c r="BE54" s="36"/>
      <c r="BF54" s="36"/>
      <c r="BG54" s="36"/>
      <c r="BH54" s="33"/>
      <c r="BI54" s="36"/>
      <c r="BJ54" s="36"/>
      <c r="BK54" s="36"/>
      <c r="BL54" s="33"/>
      <c r="BM54" s="36"/>
      <c r="BN54" s="264"/>
      <c r="BO54" s="35"/>
      <c r="BP54" s="36"/>
      <c r="BQ54" s="36"/>
      <c r="BR54" s="36"/>
      <c r="BS54" s="33"/>
      <c r="BT54" s="36"/>
      <c r="BU54" s="36"/>
      <c r="BV54" s="36"/>
      <c r="BW54" s="33"/>
      <c r="BX54" s="36"/>
      <c r="BY54" s="264"/>
      <c r="BZ54" s="35"/>
      <c r="CA54" s="36"/>
      <c r="CB54" s="36"/>
      <c r="CC54" s="36"/>
      <c r="CD54" s="33"/>
      <c r="CE54" s="36"/>
      <c r="CF54" s="36"/>
      <c r="CG54" s="36"/>
      <c r="CH54" s="33"/>
      <c r="CI54" s="36"/>
      <c r="CJ54" s="264"/>
      <c r="CK54" s="35"/>
      <c r="CL54" s="36"/>
      <c r="CM54" s="36"/>
      <c r="CN54" s="36"/>
      <c r="CO54" s="33"/>
      <c r="CP54" s="36"/>
      <c r="CQ54" s="36"/>
      <c r="CR54" s="36"/>
      <c r="CS54" s="33"/>
      <c r="CT54" s="36"/>
      <c r="CU54" s="264"/>
      <c r="CV54" s="35"/>
      <c r="CW54" s="36"/>
      <c r="CX54" s="36"/>
      <c r="CY54" s="36"/>
      <c r="CZ54" s="33"/>
      <c r="DA54" s="36"/>
      <c r="DB54" s="36"/>
      <c r="DC54" s="36"/>
      <c r="DD54" s="33"/>
      <c r="DE54" s="36"/>
      <c r="DF54" s="264"/>
      <c r="DG54" s="35"/>
      <c r="DH54" s="36"/>
      <c r="DI54" s="289"/>
      <c r="DJ54" s="36"/>
      <c r="DK54" s="33"/>
      <c r="DL54" s="36"/>
      <c r="DM54" s="36"/>
      <c r="DN54" s="36"/>
      <c r="DO54" s="33"/>
      <c r="DP54" s="36"/>
      <c r="DQ54" s="264"/>
    </row>
    <row r="55" spans="1:121" s="21" customFormat="1" ht="21" customHeight="1" thickTop="1">
      <c r="A55" s="23"/>
      <c r="B55" s="302" t="s">
        <v>1</v>
      </c>
      <c r="C55" s="303"/>
      <c r="D55" s="304"/>
      <c r="E55" s="74" t="s">
        <v>45</v>
      </c>
      <c r="F55" s="305" t="s">
        <v>96</v>
      </c>
      <c r="G55" s="306"/>
      <c r="H55" s="307"/>
      <c r="I55" s="181" t="s">
        <v>45</v>
      </c>
      <c r="J55" s="302" t="s">
        <v>7</v>
      </c>
      <c r="K55" s="304"/>
      <c r="L55" s="23"/>
      <c r="M55" s="302" t="s">
        <v>1</v>
      </c>
      <c r="N55" s="303"/>
      <c r="O55" s="304"/>
      <c r="P55" s="74" t="s">
        <v>45</v>
      </c>
      <c r="Q55" s="305" t="s">
        <v>96</v>
      </c>
      <c r="R55" s="306"/>
      <c r="S55" s="307"/>
      <c r="T55" s="181" t="s">
        <v>45</v>
      </c>
      <c r="U55" s="302" t="s">
        <v>7</v>
      </c>
      <c r="V55" s="304"/>
      <c r="W55" s="23"/>
      <c r="X55" s="302" t="s">
        <v>1</v>
      </c>
      <c r="Y55" s="303"/>
      <c r="Z55" s="304"/>
      <c r="AA55" s="74" t="s">
        <v>45</v>
      </c>
      <c r="AB55" s="305" t="s">
        <v>96</v>
      </c>
      <c r="AC55" s="306"/>
      <c r="AD55" s="307"/>
      <c r="AE55" s="181" t="s">
        <v>45</v>
      </c>
      <c r="AF55" s="302" t="s">
        <v>7</v>
      </c>
      <c r="AG55" s="304"/>
      <c r="AH55" s="23"/>
      <c r="AI55" s="302" t="s">
        <v>1</v>
      </c>
      <c r="AJ55" s="303"/>
      <c r="AK55" s="304"/>
      <c r="AL55" s="74" t="s">
        <v>45</v>
      </c>
      <c r="AM55" s="305" t="s">
        <v>96</v>
      </c>
      <c r="AN55" s="306"/>
      <c r="AO55" s="307"/>
      <c r="AP55" s="181" t="s">
        <v>45</v>
      </c>
      <c r="AQ55" s="302" t="s">
        <v>7</v>
      </c>
      <c r="AR55" s="304"/>
      <c r="AS55" s="23"/>
      <c r="AT55" s="302" t="s">
        <v>1</v>
      </c>
      <c r="AU55" s="303"/>
      <c r="AV55" s="304"/>
      <c r="AW55" s="74" t="s">
        <v>45</v>
      </c>
      <c r="AX55" s="305" t="s">
        <v>96</v>
      </c>
      <c r="AY55" s="306"/>
      <c r="AZ55" s="307"/>
      <c r="BA55" s="181" t="s">
        <v>45</v>
      </c>
      <c r="BB55" s="302" t="s">
        <v>7</v>
      </c>
      <c r="BC55" s="304"/>
      <c r="BD55" s="23"/>
      <c r="BE55" s="302" t="s">
        <v>1</v>
      </c>
      <c r="BF55" s="303"/>
      <c r="BG55" s="304"/>
      <c r="BH55" s="74" t="s">
        <v>45</v>
      </c>
      <c r="BI55" s="305" t="s">
        <v>96</v>
      </c>
      <c r="BJ55" s="306"/>
      <c r="BK55" s="307"/>
      <c r="BL55" s="181" t="s">
        <v>45</v>
      </c>
      <c r="BM55" s="302" t="s">
        <v>7</v>
      </c>
      <c r="BN55" s="304"/>
      <c r="BO55" s="23"/>
      <c r="BP55" s="302" t="s">
        <v>1</v>
      </c>
      <c r="BQ55" s="303"/>
      <c r="BR55" s="304"/>
      <c r="BS55" s="74" t="s">
        <v>45</v>
      </c>
      <c r="BT55" s="305" t="s">
        <v>96</v>
      </c>
      <c r="BU55" s="306"/>
      <c r="BV55" s="307"/>
      <c r="BW55" s="181" t="s">
        <v>45</v>
      </c>
      <c r="BX55" s="302" t="s">
        <v>7</v>
      </c>
      <c r="BY55" s="304"/>
      <c r="BZ55" s="23"/>
      <c r="CA55" s="302" t="s">
        <v>1</v>
      </c>
      <c r="CB55" s="303"/>
      <c r="CC55" s="304"/>
      <c r="CD55" s="74" t="s">
        <v>45</v>
      </c>
      <c r="CE55" s="305" t="s">
        <v>96</v>
      </c>
      <c r="CF55" s="306"/>
      <c r="CG55" s="307"/>
      <c r="CH55" s="181" t="s">
        <v>45</v>
      </c>
      <c r="CI55" s="302" t="s">
        <v>7</v>
      </c>
      <c r="CJ55" s="304"/>
      <c r="CK55" s="23"/>
      <c r="CL55" s="302" t="s">
        <v>1</v>
      </c>
      <c r="CM55" s="303"/>
      <c r="CN55" s="304"/>
      <c r="CO55" s="74" t="s">
        <v>45</v>
      </c>
      <c r="CP55" s="305" t="s">
        <v>96</v>
      </c>
      <c r="CQ55" s="306"/>
      <c r="CR55" s="307"/>
      <c r="CS55" s="181" t="s">
        <v>45</v>
      </c>
      <c r="CT55" s="302" t="s">
        <v>7</v>
      </c>
      <c r="CU55" s="304"/>
      <c r="CV55" s="23"/>
      <c r="CW55" s="302" t="s">
        <v>1</v>
      </c>
      <c r="CX55" s="303"/>
      <c r="CY55" s="304"/>
      <c r="CZ55" s="74" t="s">
        <v>45</v>
      </c>
      <c r="DA55" s="305" t="s">
        <v>96</v>
      </c>
      <c r="DB55" s="306"/>
      <c r="DC55" s="307"/>
      <c r="DD55" s="181" t="s">
        <v>45</v>
      </c>
      <c r="DE55" s="302" t="s">
        <v>7</v>
      </c>
      <c r="DF55" s="304"/>
      <c r="DG55" s="23"/>
      <c r="DH55" s="302" t="s">
        <v>1</v>
      </c>
      <c r="DI55" s="303"/>
      <c r="DJ55" s="304"/>
      <c r="DK55" s="74" t="s">
        <v>45</v>
      </c>
      <c r="DL55" s="305" t="s">
        <v>96</v>
      </c>
      <c r="DM55" s="306"/>
      <c r="DN55" s="307"/>
      <c r="DO55" s="181" t="s">
        <v>45</v>
      </c>
      <c r="DP55" s="302" t="s">
        <v>7</v>
      </c>
      <c r="DQ55" s="304"/>
    </row>
    <row r="56" spans="1:121" s="21" customFormat="1" ht="21" customHeight="1">
      <c r="A56" s="24"/>
      <c r="B56" s="77" t="s">
        <v>71</v>
      </c>
      <c r="C56" s="322" t="s">
        <v>8</v>
      </c>
      <c r="D56" s="310" t="s">
        <v>9</v>
      </c>
      <c r="E56" s="44" t="s">
        <v>118</v>
      </c>
      <c r="F56" s="161" t="s">
        <v>71</v>
      </c>
      <c r="G56" s="312" t="s">
        <v>8</v>
      </c>
      <c r="H56" s="314" t="s">
        <v>9</v>
      </c>
      <c r="I56" s="182" t="s">
        <v>118</v>
      </c>
      <c r="J56" s="316" t="s">
        <v>8</v>
      </c>
      <c r="K56" s="310" t="s">
        <v>9</v>
      </c>
      <c r="L56" s="24"/>
      <c r="M56" s="77" t="s">
        <v>71</v>
      </c>
      <c r="N56" s="322" t="s">
        <v>8</v>
      </c>
      <c r="O56" s="310" t="s">
        <v>9</v>
      </c>
      <c r="P56" s="44" t="s">
        <v>118</v>
      </c>
      <c r="Q56" s="161" t="s">
        <v>71</v>
      </c>
      <c r="R56" s="312" t="s">
        <v>8</v>
      </c>
      <c r="S56" s="314" t="s">
        <v>9</v>
      </c>
      <c r="T56" s="182" t="s">
        <v>118</v>
      </c>
      <c r="U56" s="316" t="s">
        <v>8</v>
      </c>
      <c r="V56" s="310" t="s">
        <v>9</v>
      </c>
      <c r="W56" s="24"/>
      <c r="X56" s="77" t="s">
        <v>71</v>
      </c>
      <c r="Y56" s="322" t="s">
        <v>8</v>
      </c>
      <c r="Z56" s="310" t="s">
        <v>9</v>
      </c>
      <c r="AA56" s="44" t="s">
        <v>118</v>
      </c>
      <c r="AB56" s="161" t="s">
        <v>71</v>
      </c>
      <c r="AC56" s="312" t="s">
        <v>8</v>
      </c>
      <c r="AD56" s="314" t="s">
        <v>9</v>
      </c>
      <c r="AE56" s="182" t="s">
        <v>118</v>
      </c>
      <c r="AF56" s="316" t="s">
        <v>8</v>
      </c>
      <c r="AG56" s="310" t="s">
        <v>9</v>
      </c>
      <c r="AH56" s="24"/>
      <c r="AI56" s="77" t="s">
        <v>71</v>
      </c>
      <c r="AJ56" s="322" t="s">
        <v>8</v>
      </c>
      <c r="AK56" s="310" t="s">
        <v>9</v>
      </c>
      <c r="AL56" s="44" t="s">
        <v>118</v>
      </c>
      <c r="AM56" s="161" t="s">
        <v>71</v>
      </c>
      <c r="AN56" s="312" t="s">
        <v>8</v>
      </c>
      <c r="AO56" s="314" t="s">
        <v>9</v>
      </c>
      <c r="AP56" s="182" t="s">
        <v>118</v>
      </c>
      <c r="AQ56" s="316" t="s">
        <v>8</v>
      </c>
      <c r="AR56" s="310" t="s">
        <v>9</v>
      </c>
      <c r="AS56" s="24"/>
      <c r="AT56" s="77" t="s">
        <v>71</v>
      </c>
      <c r="AU56" s="322" t="s">
        <v>8</v>
      </c>
      <c r="AV56" s="310" t="s">
        <v>9</v>
      </c>
      <c r="AW56" s="44" t="s">
        <v>118</v>
      </c>
      <c r="AX56" s="161" t="s">
        <v>71</v>
      </c>
      <c r="AY56" s="312" t="s">
        <v>8</v>
      </c>
      <c r="AZ56" s="314" t="s">
        <v>9</v>
      </c>
      <c r="BA56" s="182" t="s">
        <v>118</v>
      </c>
      <c r="BB56" s="316" t="s">
        <v>8</v>
      </c>
      <c r="BC56" s="318" t="s">
        <v>9</v>
      </c>
      <c r="BD56" s="24"/>
      <c r="BE56" s="77" t="s">
        <v>71</v>
      </c>
      <c r="BF56" s="322" t="s">
        <v>8</v>
      </c>
      <c r="BG56" s="310" t="s">
        <v>9</v>
      </c>
      <c r="BH56" s="44" t="s">
        <v>118</v>
      </c>
      <c r="BI56" s="161" t="s">
        <v>71</v>
      </c>
      <c r="BJ56" s="312" t="s">
        <v>8</v>
      </c>
      <c r="BK56" s="314" t="s">
        <v>9</v>
      </c>
      <c r="BL56" s="182" t="s">
        <v>118</v>
      </c>
      <c r="BM56" s="316" t="s">
        <v>8</v>
      </c>
      <c r="BN56" s="318" t="s">
        <v>9</v>
      </c>
      <c r="BO56" s="24"/>
      <c r="BP56" s="77" t="s">
        <v>71</v>
      </c>
      <c r="BQ56" s="322" t="s">
        <v>8</v>
      </c>
      <c r="BR56" s="310" t="s">
        <v>9</v>
      </c>
      <c r="BS56" s="44" t="s">
        <v>118</v>
      </c>
      <c r="BT56" s="161" t="s">
        <v>71</v>
      </c>
      <c r="BU56" s="312" t="s">
        <v>8</v>
      </c>
      <c r="BV56" s="314" t="s">
        <v>9</v>
      </c>
      <c r="BW56" s="182" t="s">
        <v>118</v>
      </c>
      <c r="BX56" s="316" t="s">
        <v>8</v>
      </c>
      <c r="BY56" s="318" t="s">
        <v>9</v>
      </c>
      <c r="BZ56" s="24"/>
      <c r="CA56" s="77" t="s">
        <v>71</v>
      </c>
      <c r="CB56" s="322" t="s">
        <v>8</v>
      </c>
      <c r="CC56" s="310" t="s">
        <v>9</v>
      </c>
      <c r="CD56" s="44" t="s">
        <v>118</v>
      </c>
      <c r="CE56" s="161" t="s">
        <v>71</v>
      </c>
      <c r="CF56" s="312" t="s">
        <v>8</v>
      </c>
      <c r="CG56" s="314" t="s">
        <v>9</v>
      </c>
      <c r="CH56" s="182" t="s">
        <v>118</v>
      </c>
      <c r="CI56" s="316" t="s">
        <v>8</v>
      </c>
      <c r="CJ56" s="318" t="s">
        <v>9</v>
      </c>
      <c r="CK56" s="24"/>
      <c r="CL56" s="77" t="s">
        <v>71</v>
      </c>
      <c r="CM56" s="322" t="s">
        <v>8</v>
      </c>
      <c r="CN56" s="310" t="s">
        <v>9</v>
      </c>
      <c r="CO56" s="44" t="s">
        <v>118</v>
      </c>
      <c r="CP56" s="161" t="s">
        <v>71</v>
      </c>
      <c r="CQ56" s="312" t="s">
        <v>8</v>
      </c>
      <c r="CR56" s="314" t="s">
        <v>9</v>
      </c>
      <c r="CS56" s="182" t="s">
        <v>118</v>
      </c>
      <c r="CT56" s="316" t="s">
        <v>8</v>
      </c>
      <c r="CU56" s="318" t="s">
        <v>9</v>
      </c>
      <c r="CV56" s="24"/>
      <c r="CW56" s="77" t="s">
        <v>71</v>
      </c>
      <c r="CX56" s="322" t="s">
        <v>8</v>
      </c>
      <c r="CY56" s="310" t="s">
        <v>9</v>
      </c>
      <c r="CZ56" s="44" t="s">
        <v>118</v>
      </c>
      <c r="DA56" s="161" t="s">
        <v>71</v>
      </c>
      <c r="DB56" s="312" t="s">
        <v>8</v>
      </c>
      <c r="DC56" s="314" t="s">
        <v>9</v>
      </c>
      <c r="DD56" s="182" t="s">
        <v>118</v>
      </c>
      <c r="DE56" s="316" t="s">
        <v>8</v>
      </c>
      <c r="DF56" s="318" t="s">
        <v>9</v>
      </c>
      <c r="DG56" s="24"/>
      <c r="DH56" s="77" t="s">
        <v>71</v>
      </c>
      <c r="DI56" s="308" t="s">
        <v>8</v>
      </c>
      <c r="DJ56" s="310" t="s">
        <v>9</v>
      </c>
      <c r="DK56" s="44" t="s">
        <v>118</v>
      </c>
      <c r="DL56" s="161" t="s">
        <v>71</v>
      </c>
      <c r="DM56" s="312" t="s">
        <v>8</v>
      </c>
      <c r="DN56" s="314" t="s">
        <v>9</v>
      </c>
      <c r="DO56" s="182" t="s">
        <v>118</v>
      </c>
      <c r="DP56" s="316" t="s">
        <v>8</v>
      </c>
      <c r="DQ56" s="318" t="s">
        <v>9</v>
      </c>
    </row>
    <row r="57" spans="1:121" s="21" customFormat="1" ht="21" customHeight="1">
      <c r="A57" s="24" t="s">
        <v>2</v>
      </c>
      <c r="B57" s="78" t="s">
        <v>142</v>
      </c>
      <c r="C57" s="323"/>
      <c r="D57" s="311"/>
      <c r="E57" s="43" t="s">
        <v>114</v>
      </c>
      <c r="F57" s="163" t="s">
        <v>145</v>
      </c>
      <c r="G57" s="313"/>
      <c r="H57" s="315"/>
      <c r="I57" s="162" t="s">
        <v>90</v>
      </c>
      <c r="J57" s="317"/>
      <c r="K57" s="311"/>
      <c r="L57" s="24" t="s">
        <v>2</v>
      </c>
      <c r="M57" s="78" t="s">
        <v>142</v>
      </c>
      <c r="N57" s="323"/>
      <c r="O57" s="311"/>
      <c r="P57" s="43" t="s">
        <v>114</v>
      </c>
      <c r="Q57" s="163" t="s">
        <v>145</v>
      </c>
      <c r="R57" s="313"/>
      <c r="S57" s="315"/>
      <c r="T57" s="162" t="s">
        <v>90</v>
      </c>
      <c r="U57" s="317"/>
      <c r="V57" s="311"/>
      <c r="W57" s="24" t="s">
        <v>2</v>
      </c>
      <c r="X57" s="78" t="s">
        <v>142</v>
      </c>
      <c r="Y57" s="323"/>
      <c r="Z57" s="311"/>
      <c r="AA57" s="43" t="s">
        <v>114</v>
      </c>
      <c r="AB57" s="163" t="s">
        <v>145</v>
      </c>
      <c r="AC57" s="313"/>
      <c r="AD57" s="315"/>
      <c r="AE57" s="162" t="s">
        <v>90</v>
      </c>
      <c r="AF57" s="317"/>
      <c r="AG57" s="311"/>
      <c r="AH57" s="24" t="s">
        <v>2</v>
      </c>
      <c r="AI57" s="78" t="s">
        <v>142</v>
      </c>
      <c r="AJ57" s="323"/>
      <c r="AK57" s="311"/>
      <c r="AL57" s="43" t="s">
        <v>114</v>
      </c>
      <c r="AM57" s="163" t="s">
        <v>145</v>
      </c>
      <c r="AN57" s="313"/>
      <c r="AO57" s="315"/>
      <c r="AP57" s="162" t="s">
        <v>90</v>
      </c>
      <c r="AQ57" s="317"/>
      <c r="AR57" s="311"/>
      <c r="AS57" s="24" t="s">
        <v>2</v>
      </c>
      <c r="AT57" s="78" t="s">
        <v>142</v>
      </c>
      <c r="AU57" s="323"/>
      <c r="AV57" s="311"/>
      <c r="AW57" s="43" t="s">
        <v>114</v>
      </c>
      <c r="AX57" s="163" t="s">
        <v>145</v>
      </c>
      <c r="AY57" s="313"/>
      <c r="AZ57" s="315"/>
      <c r="BA57" s="162" t="s">
        <v>90</v>
      </c>
      <c r="BB57" s="317"/>
      <c r="BC57" s="319"/>
      <c r="BD57" s="24" t="s">
        <v>2</v>
      </c>
      <c r="BE57" s="78" t="s">
        <v>142</v>
      </c>
      <c r="BF57" s="323"/>
      <c r="BG57" s="311"/>
      <c r="BH57" s="43" t="s">
        <v>114</v>
      </c>
      <c r="BI57" s="163" t="s">
        <v>145</v>
      </c>
      <c r="BJ57" s="313"/>
      <c r="BK57" s="315"/>
      <c r="BL57" s="162" t="s">
        <v>90</v>
      </c>
      <c r="BM57" s="317"/>
      <c r="BN57" s="319"/>
      <c r="BO57" s="24" t="s">
        <v>2</v>
      </c>
      <c r="BP57" s="78" t="s">
        <v>142</v>
      </c>
      <c r="BQ57" s="323"/>
      <c r="BR57" s="311"/>
      <c r="BS57" s="43" t="s">
        <v>114</v>
      </c>
      <c r="BT57" s="163" t="s">
        <v>145</v>
      </c>
      <c r="BU57" s="313"/>
      <c r="BV57" s="315"/>
      <c r="BW57" s="162" t="s">
        <v>90</v>
      </c>
      <c r="BX57" s="317"/>
      <c r="BY57" s="319"/>
      <c r="BZ57" s="24" t="s">
        <v>2</v>
      </c>
      <c r="CA57" s="78" t="s">
        <v>142</v>
      </c>
      <c r="CB57" s="323"/>
      <c r="CC57" s="311"/>
      <c r="CD57" s="43" t="s">
        <v>114</v>
      </c>
      <c r="CE57" s="163" t="s">
        <v>145</v>
      </c>
      <c r="CF57" s="313"/>
      <c r="CG57" s="315"/>
      <c r="CH57" s="162" t="s">
        <v>90</v>
      </c>
      <c r="CI57" s="317"/>
      <c r="CJ57" s="319"/>
      <c r="CK57" s="24" t="s">
        <v>2</v>
      </c>
      <c r="CL57" s="78" t="s">
        <v>142</v>
      </c>
      <c r="CM57" s="323"/>
      <c r="CN57" s="311"/>
      <c r="CO57" s="43" t="s">
        <v>114</v>
      </c>
      <c r="CP57" s="163" t="s">
        <v>145</v>
      </c>
      <c r="CQ57" s="313"/>
      <c r="CR57" s="315"/>
      <c r="CS57" s="162" t="s">
        <v>90</v>
      </c>
      <c r="CT57" s="317"/>
      <c r="CU57" s="319"/>
      <c r="CV57" s="24" t="s">
        <v>2</v>
      </c>
      <c r="CW57" s="78" t="s">
        <v>142</v>
      </c>
      <c r="CX57" s="323"/>
      <c r="CY57" s="311"/>
      <c r="CZ57" s="43" t="s">
        <v>114</v>
      </c>
      <c r="DA57" s="163" t="s">
        <v>145</v>
      </c>
      <c r="DB57" s="313"/>
      <c r="DC57" s="315"/>
      <c r="DD57" s="162" t="s">
        <v>90</v>
      </c>
      <c r="DE57" s="317"/>
      <c r="DF57" s="319"/>
      <c r="DG57" s="24" t="s">
        <v>2</v>
      </c>
      <c r="DH57" s="78" t="s">
        <v>142</v>
      </c>
      <c r="DI57" s="309"/>
      <c r="DJ57" s="311"/>
      <c r="DK57" s="43" t="s">
        <v>114</v>
      </c>
      <c r="DL57" s="163" t="s">
        <v>145</v>
      </c>
      <c r="DM57" s="313"/>
      <c r="DN57" s="315"/>
      <c r="DO57" s="162" t="s">
        <v>90</v>
      </c>
      <c r="DP57" s="317"/>
      <c r="DQ57" s="319"/>
    </row>
    <row r="58" spans="1:121" s="21" customFormat="1" ht="21" customHeight="1" thickBot="1">
      <c r="A58" s="28"/>
      <c r="B58" s="79" t="s">
        <v>72</v>
      </c>
      <c r="C58" s="87" t="s">
        <v>72</v>
      </c>
      <c r="D58" s="83" t="s">
        <v>72</v>
      </c>
      <c r="E58" s="27"/>
      <c r="F58" s="164" t="s">
        <v>72</v>
      </c>
      <c r="G58" s="165" t="s">
        <v>72</v>
      </c>
      <c r="H58" s="183" t="s">
        <v>72</v>
      </c>
      <c r="I58" s="167"/>
      <c r="J58" s="123" t="s">
        <v>72</v>
      </c>
      <c r="K58" s="83" t="s">
        <v>72</v>
      </c>
      <c r="L58" s="28"/>
      <c r="M58" s="79" t="s">
        <v>72</v>
      </c>
      <c r="N58" s="87" t="s">
        <v>72</v>
      </c>
      <c r="O58" s="83" t="s">
        <v>72</v>
      </c>
      <c r="P58" s="27"/>
      <c r="Q58" s="164" t="s">
        <v>72</v>
      </c>
      <c r="R58" s="165" t="s">
        <v>72</v>
      </c>
      <c r="S58" s="183" t="s">
        <v>72</v>
      </c>
      <c r="T58" s="167"/>
      <c r="U58" s="123" t="s">
        <v>72</v>
      </c>
      <c r="V58" s="83" t="s">
        <v>72</v>
      </c>
      <c r="W58" s="28"/>
      <c r="X58" s="79" t="s">
        <v>72</v>
      </c>
      <c r="Y58" s="87" t="s">
        <v>72</v>
      </c>
      <c r="Z58" s="83" t="s">
        <v>72</v>
      </c>
      <c r="AA58" s="27"/>
      <c r="AB58" s="164" t="s">
        <v>72</v>
      </c>
      <c r="AC58" s="165" t="s">
        <v>72</v>
      </c>
      <c r="AD58" s="183" t="s">
        <v>72</v>
      </c>
      <c r="AE58" s="167"/>
      <c r="AF58" s="123" t="s">
        <v>72</v>
      </c>
      <c r="AG58" s="83" t="s">
        <v>72</v>
      </c>
      <c r="AH58" s="28"/>
      <c r="AI58" s="79" t="s">
        <v>72</v>
      </c>
      <c r="AJ58" s="87" t="s">
        <v>72</v>
      </c>
      <c r="AK58" s="83" t="s">
        <v>72</v>
      </c>
      <c r="AL58" s="27"/>
      <c r="AM58" s="164" t="s">
        <v>72</v>
      </c>
      <c r="AN58" s="165" t="s">
        <v>72</v>
      </c>
      <c r="AO58" s="183" t="s">
        <v>72</v>
      </c>
      <c r="AP58" s="167"/>
      <c r="AQ58" s="123" t="s">
        <v>72</v>
      </c>
      <c r="AR58" s="83" t="s">
        <v>72</v>
      </c>
      <c r="AS58" s="28"/>
      <c r="AT58" s="79" t="s">
        <v>72</v>
      </c>
      <c r="AU58" s="87" t="s">
        <v>72</v>
      </c>
      <c r="AV58" s="83" t="s">
        <v>72</v>
      </c>
      <c r="AW58" s="27"/>
      <c r="AX58" s="164" t="s">
        <v>72</v>
      </c>
      <c r="AY58" s="165" t="s">
        <v>72</v>
      </c>
      <c r="AZ58" s="183" t="s">
        <v>72</v>
      </c>
      <c r="BA58" s="167"/>
      <c r="BB58" s="123" t="s">
        <v>72</v>
      </c>
      <c r="BC58" s="260" t="s">
        <v>72</v>
      </c>
      <c r="BD58" s="28"/>
      <c r="BE58" s="79" t="s">
        <v>72</v>
      </c>
      <c r="BF58" s="87" t="s">
        <v>72</v>
      </c>
      <c r="BG58" s="83" t="s">
        <v>72</v>
      </c>
      <c r="BH58" s="27"/>
      <c r="BI58" s="164" t="s">
        <v>72</v>
      </c>
      <c r="BJ58" s="165" t="s">
        <v>72</v>
      </c>
      <c r="BK58" s="183" t="s">
        <v>72</v>
      </c>
      <c r="BL58" s="167"/>
      <c r="BM58" s="123" t="s">
        <v>72</v>
      </c>
      <c r="BN58" s="260" t="s">
        <v>72</v>
      </c>
      <c r="BO58" s="28"/>
      <c r="BP58" s="79" t="s">
        <v>72</v>
      </c>
      <c r="BQ58" s="87" t="s">
        <v>72</v>
      </c>
      <c r="BR58" s="83" t="s">
        <v>72</v>
      </c>
      <c r="BS58" s="27"/>
      <c r="BT58" s="164" t="s">
        <v>72</v>
      </c>
      <c r="BU58" s="165" t="s">
        <v>72</v>
      </c>
      <c r="BV58" s="183" t="s">
        <v>72</v>
      </c>
      <c r="BW58" s="167"/>
      <c r="BX58" s="123" t="s">
        <v>72</v>
      </c>
      <c r="BY58" s="260" t="s">
        <v>72</v>
      </c>
      <c r="BZ58" s="28"/>
      <c r="CA58" s="79" t="s">
        <v>72</v>
      </c>
      <c r="CB58" s="87" t="s">
        <v>72</v>
      </c>
      <c r="CC58" s="83" t="s">
        <v>72</v>
      </c>
      <c r="CD58" s="27"/>
      <c r="CE58" s="164" t="s">
        <v>72</v>
      </c>
      <c r="CF58" s="165" t="s">
        <v>72</v>
      </c>
      <c r="CG58" s="183" t="s">
        <v>72</v>
      </c>
      <c r="CH58" s="167"/>
      <c r="CI58" s="123" t="s">
        <v>72</v>
      </c>
      <c r="CJ58" s="260" t="s">
        <v>72</v>
      </c>
      <c r="CK58" s="28"/>
      <c r="CL58" s="79" t="s">
        <v>72</v>
      </c>
      <c r="CM58" s="87" t="s">
        <v>72</v>
      </c>
      <c r="CN58" s="83" t="s">
        <v>72</v>
      </c>
      <c r="CO58" s="27"/>
      <c r="CP58" s="164" t="s">
        <v>72</v>
      </c>
      <c r="CQ58" s="165" t="s">
        <v>72</v>
      </c>
      <c r="CR58" s="183" t="s">
        <v>72</v>
      </c>
      <c r="CS58" s="167"/>
      <c r="CT58" s="123" t="s">
        <v>72</v>
      </c>
      <c r="CU58" s="260" t="s">
        <v>72</v>
      </c>
      <c r="CV58" s="28"/>
      <c r="CW58" s="79" t="s">
        <v>72</v>
      </c>
      <c r="CX58" s="87" t="s">
        <v>72</v>
      </c>
      <c r="CY58" s="83" t="s">
        <v>72</v>
      </c>
      <c r="CZ58" s="27"/>
      <c r="DA58" s="164" t="s">
        <v>72</v>
      </c>
      <c r="DB58" s="165" t="s">
        <v>72</v>
      </c>
      <c r="DC58" s="183" t="s">
        <v>72</v>
      </c>
      <c r="DD58" s="167"/>
      <c r="DE58" s="123" t="s">
        <v>72</v>
      </c>
      <c r="DF58" s="260" t="s">
        <v>72</v>
      </c>
      <c r="DG58" s="28"/>
      <c r="DH58" s="79" t="s">
        <v>72</v>
      </c>
      <c r="DI58" s="285" t="s">
        <v>72</v>
      </c>
      <c r="DJ58" s="83" t="s">
        <v>72</v>
      </c>
      <c r="DK58" s="27"/>
      <c r="DL58" s="164" t="s">
        <v>72</v>
      </c>
      <c r="DM58" s="165" t="s">
        <v>72</v>
      </c>
      <c r="DN58" s="183" t="s">
        <v>72</v>
      </c>
      <c r="DO58" s="167"/>
      <c r="DP58" s="123" t="s">
        <v>72</v>
      </c>
      <c r="DQ58" s="260" t="s">
        <v>72</v>
      </c>
    </row>
    <row r="59" spans="1:121" ht="29.25" customHeight="1" thickTop="1">
      <c r="A59" s="29" t="s">
        <v>13</v>
      </c>
      <c r="B59" s="101"/>
      <c r="C59" s="102"/>
      <c r="D59" s="103"/>
      <c r="E59" s="204"/>
      <c r="F59" s="184"/>
      <c r="G59" s="185"/>
      <c r="H59" s="186"/>
      <c r="I59" s="209"/>
      <c r="J59" s="96"/>
      <c r="K59" s="110"/>
      <c r="L59" s="29" t="s">
        <v>13</v>
      </c>
      <c r="M59" s="101"/>
      <c r="N59" s="102"/>
      <c r="O59" s="103"/>
      <c r="P59" s="204"/>
      <c r="Q59" s="184"/>
      <c r="R59" s="185"/>
      <c r="S59" s="186"/>
      <c r="T59" s="209"/>
      <c r="U59" s="96"/>
      <c r="V59" s="110"/>
      <c r="W59" s="29" t="s">
        <v>13</v>
      </c>
      <c r="X59" s="101"/>
      <c r="Y59" s="102"/>
      <c r="Z59" s="103"/>
      <c r="AA59" s="204"/>
      <c r="AB59" s="184"/>
      <c r="AC59" s="185"/>
      <c r="AD59" s="186"/>
      <c r="AE59" s="209"/>
      <c r="AF59" s="96"/>
      <c r="AG59" s="110"/>
      <c r="AH59" s="29" t="s">
        <v>13</v>
      </c>
      <c r="AI59" s="101"/>
      <c r="AJ59" s="102"/>
      <c r="AK59" s="103"/>
      <c r="AL59" s="204"/>
      <c r="AM59" s="184"/>
      <c r="AN59" s="185"/>
      <c r="AO59" s="186"/>
      <c r="AP59" s="209"/>
      <c r="AQ59" s="96"/>
      <c r="AR59" s="110"/>
      <c r="AS59" s="29" t="s">
        <v>13</v>
      </c>
      <c r="AT59" s="101"/>
      <c r="AU59" s="102"/>
      <c r="AV59" s="103"/>
      <c r="AW59" s="204"/>
      <c r="AX59" s="184"/>
      <c r="AY59" s="185"/>
      <c r="AZ59" s="186"/>
      <c r="BA59" s="209"/>
      <c r="BB59" s="96"/>
      <c r="BC59" s="265"/>
      <c r="BD59" s="29" t="s">
        <v>13</v>
      </c>
      <c r="BE59" s="101"/>
      <c r="BF59" s="102"/>
      <c r="BG59" s="103"/>
      <c r="BH59" s="204"/>
      <c r="BI59" s="184"/>
      <c r="BJ59" s="185"/>
      <c r="BK59" s="186"/>
      <c r="BL59" s="209"/>
      <c r="BM59" s="96"/>
      <c r="BN59" s="265"/>
      <c r="BO59" s="29" t="s">
        <v>13</v>
      </c>
      <c r="BP59" s="101"/>
      <c r="BQ59" s="102"/>
      <c r="BR59" s="103"/>
      <c r="BS59" s="204"/>
      <c r="BT59" s="184"/>
      <c r="BU59" s="185"/>
      <c r="BV59" s="186"/>
      <c r="BW59" s="209"/>
      <c r="BX59" s="96"/>
      <c r="BY59" s="265"/>
      <c r="BZ59" s="29" t="s">
        <v>13</v>
      </c>
      <c r="CA59" s="101"/>
      <c r="CB59" s="102"/>
      <c r="CC59" s="103"/>
      <c r="CD59" s="204"/>
      <c r="CE59" s="184"/>
      <c r="CF59" s="185"/>
      <c r="CG59" s="186"/>
      <c r="CH59" s="209"/>
      <c r="CI59" s="96"/>
      <c r="CJ59" s="265"/>
      <c r="CK59" s="29" t="s">
        <v>13</v>
      </c>
      <c r="CL59" s="101"/>
      <c r="CM59" s="102"/>
      <c r="CN59" s="103"/>
      <c r="CO59" s="204"/>
      <c r="CP59" s="184"/>
      <c r="CQ59" s="185"/>
      <c r="CR59" s="186"/>
      <c r="CS59" s="209"/>
      <c r="CT59" s="96"/>
      <c r="CU59" s="265"/>
      <c r="CV59" s="29" t="s">
        <v>13</v>
      </c>
      <c r="CW59" s="101"/>
      <c r="CX59" s="102"/>
      <c r="CY59" s="103"/>
      <c r="CZ59" s="204"/>
      <c r="DA59" s="184"/>
      <c r="DB59" s="185"/>
      <c r="DC59" s="186"/>
      <c r="DD59" s="209"/>
      <c r="DE59" s="96"/>
      <c r="DF59" s="265"/>
      <c r="DG59" s="29" t="s">
        <v>13</v>
      </c>
      <c r="DH59" s="101"/>
      <c r="DI59" s="290"/>
      <c r="DJ59" s="103"/>
      <c r="DK59" s="204"/>
      <c r="DL59" s="184"/>
      <c r="DM59" s="185"/>
      <c r="DN59" s="186"/>
      <c r="DO59" s="209"/>
      <c r="DP59" s="96"/>
      <c r="DQ59" s="265"/>
    </row>
    <row r="60" spans="1:121" ht="21">
      <c r="A60" s="16" t="s">
        <v>70</v>
      </c>
      <c r="B60" s="90">
        <v>21956880</v>
      </c>
      <c r="C60" s="38">
        <f>+J60-G60</f>
        <v>1712519.35</v>
      </c>
      <c r="D60" s="104">
        <f>+K60-H60</f>
        <v>1712519.35</v>
      </c>
      <c r="E60" s="203">
        <f>+D60/+B60</f>
        <v>0.07799465816636973</v>
      </c>
      <c r="F60" s="187">
        <v>404160</v>
      </c>
      <c r="G60" s="173">
        <v>0</v>
      </c>
      <c r="H60" s="199">
        <f>+G60</f>
        <v>0</v>
      </c>
      <c r="I60" s="203">
        <v>0</v>
      </c>
      <c r="J60" s="97">
        <v>1712519.35</v>
      </c>
      <c r="K60" s="85">
        <f>+J60</f>
        <v>1712519.35</v>
      </c>
      <c r="L60" s="16" t="s">
        <v>70</v>
      </c>
      <c r="M60" s="90">
        <v>21956880</v>
      </c>
      <c r="N60" s="38">
        <f>+U60-R60</f>
        <v>1712800</v>
      </c>
      <c r="O60" s="104">
        <f>+V60-S60</f>
        <v>3425319.35</v>
      </c>
      <c r="P60" s="203">
        <f>+O60/+M60</f>
        <v>0.15600209820338773</v>
      </c>
      <c r="Q60" s="187">
        <v>404160</v>
      </c>
      <c r="R60" s="173">
        <v>0</v>
      </c>
      <c r="S60" s="199">
        <f>+R60</f>
        <v>0</v>
      </c>
      <c r="T60" s="203">
        <v>0</v>
      </c>
      <c r="U60" s="97">
        <v>1712800</v>
      </c>
      <c r="V60" s="85">
        <f>+U60+K60</f>
        <v>3425319.35</v>
      </c>
      <c r="W60" s="16" t="s">
        <v>70</v>
      </c>
      <c r="X60" s="90">
        <v>21956880</v>
      </c>
      <c r="Y60" s="38">
        <f>+AF60-AC60</f>
        <v>1703725.81</v>
      </c>
      <c r="Z60" s="104">
        <f>+AG60-AD60</f>
        <v>5129045.16</v>
      </c>
      <c r="AA60" s="203">
        <f>+Z60/+X60</f>
        <v>0.2335962650431209</v>
      </c>
      <c r="AB60" s="187">
        <v>404160</v>
      </c>
      <c r="AC60" s="173">
        <v>0</v>
      </c>
      <c r="AD60" s="199">
        <f>+AC60</f>
        <v>0</v>
      </c>
      <c r="AE60" s="203">
        <v>0</v>
      </c>
      <c r="AF60" s="97">
        <v>1703725.81</v>
      </c>
      <c r="AG60" s="85">
        <f>+AF60+V60</f>
        <v>5129045.16</v>
      </c>
      <c r="AH60" s="16" t="s">
        <v>70</v>
      </c>
      <c r="AI60" s="90">
        <v>21956880</v>
      </c>
      <c r="AJ60" s="38">
        <f>+AQ60-AN60</f>
        <v>1797776.62</v>
      </c>
      <c r="AK60" s="104">
        <f>+AR60-AO60</f>
        <v>6926821.78</v>
      </c>
      <c r="AL60" s="203">
        <f>+AK60/+AI60</f>
        <v>0.3154738642284332</v>
      </c>
      <c r="AM60" s="187">
        <v>404160</v>
      </c>
      <c r="AN60" s="173">
        <v>0</v>
      </c>
      <c r="AO60" s="199">
        <f>+AN60</f>
        <v>0</v>
      </c>
      <c r="AP60" s="203">
        <v>0</v>
      </c>
      <c r="AQ60" s="97">
        <v>1797776.62</v>
      </c>
      <c r="AR60" s="85">
        <f>+AQ60+AG60</f>
        <v>6926821.78</v>
      </c>
      <c r="AS60" s="16" t="s">
        <v>70</v>
      </c>
      <c r="AT60" s="90">
        <v>21956880</v>
      </c>
      <c r="AU60" s="38">
        <f>+BB60-AY60</f>
        <v>1759618.7</v>
      </c>
      <c r="AV60" s="104">
        <f>+BC60-AZ60</f>
        <v>8686440.48</v>
      </c>
      <c r="AW60" s="203">
        <f>+AV60/+AT60</f>
        <v>0.3956136063047209</v>
      </c>
      <c r="AX60" s="187">
        <v>404160</v>
      </c>
      <c r="AY60" s="173">
        <v>0</v>
      </c>
      <c r="AZ60" s="199">
        <f>+AY60</f>
        <v>0</v>
      </c>
      <c r="BA60" s="203">
        <v>0</v>
      </c>
      <c r="BB60" s="97">
        <v>1759618.7</v>
      </c>
      <c r="BC60" s="258">
        <f>+BB60+AR60</f>
        <v>8686440.48</v>
      </c>
      <c r="BD60" s="16" t="s">
        <v>70</v>
      </c>
      <c r="BE60" s="90">
        <v>21956880</v>
      </c>
      <c r="BF60" s="38">
        <f>+BM60-BJ60</f>
        <v>1758576.96</v>
      </c>
      <c r="BG60" s="104">
        <f>+BN60-BK60</f>
        <v>10445017.440000001</v>
      </c>
      <c r="BH60" s="203">
        <f>+BG60/+BE60</f>
        <v>0.47570590357099923</v>
      </c>
      <c r="BI60" s="187">
        <v>404160</v>
      </c>
      <c r="BJ60" s="173">
        <v>0</v>
      </c>
      <c r="BK60" s="199">
        <f>+BJ60</f>
        <v>0</v>
      </c>
      <c r="BL60" s="203">
        <v>0</v>
      </c>
      <c r="BM60" s="97">
        <v>1758576.96</v>
      </c>
      <c r="BN60" s="258">
        <f>+BM60+BC60</f>
        <v>10445017.440000001</v>
      </c>
      <c r="BO60" s="16" t="s">
        <v>70</v>
      </c>
      <c r="BP60" s="90">
        <v>21956880</v>
      </c>
      <c r="BQ60" s="38">
        <f>+BX60-BU60</f>
        <v>1729220</v>
      </c>
      <c r="BR60" s="104">
        <f>+BY60-BV60</f>
        <v>12174237.440000001</v>
      </c>
      <c r="BS60" s="203">
        <f>+BR60/+BP60</f>
        <v>0.5544611729899694</v>
      </c>
      <c r="BT60" s="187">
        <v>404160</v>
      </c>
      <c r="BU60" s="173">
        <v>0</v>
      </c>
      <c r="BV60" s="199">
        <f>+BU60</f>
        <v>0</v>
      </c>
      <c r="BW60" s="203">
        <v>0</v>
      </c>
      <c r="BX60" s="97">
        <v>1729220</v>
      </c>
      <c r="BY60" s="258">
        <f>+BX60+BN60</f>
        <v>12174237.440000001</v>
      </c>
      <c r="BZ60" s="16" t="s">
        <v>70</v>
      </c>
      <c r="CA60" s="90">
        <v>21956880</v>
      </c>
      <c r="CB60" s="38">
        <f>+CI60-CF60</f>
        <v>1729540.29</v>
      </c>
      <c r="CC60" s="104">
        <f>+CJ60-CG60</f>
        <v>13903777.73</v>
      </c>
      <c r="CD60" s="203">
        <f>+CC60/+CA60</f>
        <v>0.6332310296362689</v>
      </c>
      <c r="CE60" s="187">
        <v>404160</v>
      </c>
      <c r="CF60" s="173">
        <v>0</v>
      </c>
      <c r="CG60" s="199">
        <f>+CF60</f>
        <v>0</v>
      </c>
      <c r="CH60" s="203">
        <v>0</v>
      </c>
      <c r="CI60" s="97">
        <v>1729540.29</v>
      </c>
      <c r="CJ60" s="258">
        <f>+CI60+BY60</f>
        <v>13903777.73</v>
      </c>
      <c r="CK60" s="16" t="s">
        <v>70</v>
      </c>
      <c r="CL60" s="90">
        <v>21956880</v>
      </c>
      <c r="CM60" s="38">
        <f>+CT60-CQ60</f>
        <v>1730617.67</v>
      </c>
      <c r="CN60" s="104">
        <f>+CU60-CR60</f>
        <v>15634395.4</v>
      </c>
      <c r="CO60" s="203">
        <f>+CN60/+CL60</f>
        <v>0.7120499542740134</v>
      </c>
      <c r="CP60" s="187">
        <v>404160</v>
      </c>
      <c r="CQ60" s="173">
        <v>0</v>
      </c>
      <c r="CR60" s="199">
        <f>+CQ60</f>
        <v>0</v>
      </c>
      <c r="CS60" s="203">
        <v>0</v>
      </c>
      <c r="CT60" s="97">
        <v>1730617.67</v>
      </c>
      <c r="CU60" s="258">
        <f>+CT60+CJ60</f>
        <v>15634395.4</v>
      </c>
      <c r="CV60" s="16" t="s">
        <v>70</v>
      </c>
      <c r="CW60" s="90">
        <v>21956880</v>
      </c>
      <c r="CX60" s="38">
        <f>+DE60-DB60</f>
        <v>1725315.87</v>
      </c>
      <c r="CY60" s="104">
        <f>+DF60-DC60</f>
        <v>17359711.27</v>
      </c>
      <c r="CZ60" s="203">
        <f>+CY60/+CW60</f>
        <v>0.7906274147328765</v>
      </c>
      <c r="DA60" s="187">
        <v>404160</v>
      </c>
      <c r="DB60" s="173">
        <v>0</v>
      </c>
      <c r="DC60" s="199">
        <f>+DB60</f>
        <v>0</v>
      </c>
      <c r="DD60" s="203">
        <v>0</v>
      </c>
      <c r="DE60" s="97">
        <v>1725315.87</v>
      </c>
      <c r="DF60" s="258">
        <f>+DE60+CU60</f>
        <v>17359711.27</v>
      </c>
      <c r="DG60" s="16" t="s">
        <v>70</v>
      </c>
      <c r="DH60" s="90">
        <v>21956880</v>
      </c>
      <c r="DI60" s="283">
        <v>1747364.86</v>
      </c>
      <c r="DJ60" s="104">
        <f>+DQ60-DN60</f>
        <v>19107076.13</v>
      </c>
      <c r="DK60" s="203">
        <f>+DJ60/+DH60</f>
        <v>0.8702090702322005</v>
      </c>
      <c r="DL60" s="187">
        <v>404160</v>
      </c>
      <c r="DM60" s="173">
        <v>0</v>
      </c>
      <c r="DN60" s="199">
        <f>+DM60</f>
        <v>0</v>
      </c>
      <c r="DO60" s="203">
        <v>0</v>
      </c>
      <c r="DP60" s="97">
        <v>1747364.86</v>
      </c>
      <c r="DQ60" s="258">
        <f>+DP60+DF60</f>
        <v>19107076.13</v>
      </c>
    </row>
    <row r="61" spans="1:121" ht="21">
      <c r="A61" s="16" t="s">
        <v>3</v>
      </c>
      <c r="B61" s="90">
        <v>10404127</v>
      </c>
      <c r="C61" s="38">
        <f aca="true" t="shared" si="65" ref="C61:C71">+J61-G61</f>
        <v>0</v>
      </c>
      <c r="D61" s="104">
        <f aca="true" t="shared" si="66" ref="D61:D71">+K61-H61</f>
        <v>0</v>
      </c>
      <c r="E61" s="203">
        <f aca="true" t="shared" si="67" ref="E61:E67">+D61/B61</f>
        <v>0</v>
      </c>
      <c r="F61" s="187">
        <v>1272800</v>
      </c>
      <c r="G61" s="173">
        <v>0</v>
      </c>
      <c r="H61" s="199">
        <f aca="true" t="shared" si="68" ref="H61:H71">+G61</f>
        <v>0</v>
      </c>
      <c r="I61" s="208">
        <f>+H61/F61</f>
        <v>0</v>
      </c>
      <c r="J61" s="97">
        <v>0</v>
      </c>
      <c r="K61" s="85">
        <f aca="true" t="shared" si="69" ref="K61:K71">+J61</f>
        <v>0</v>
      </c>
      <c r="L61" s="16" t="s">
        <v>3</v>
      </c>
      <c r="M61" s="90">
        <v>10404127</v>
      </c>
      <c r="N61" s="38">
        <f aca="true" t="shared" si="70" ref="N61:N71">+U61-R61</f>
        <v>624437.5</v>
      </c>
      <c r="O61" s="104">
        <f aca="true" t="shared" si="71" ref="O61:O71">+V61-S61</f>
        <v>624437.5</v>
      </c>
      <c r="P61" s="203">
        <f aca="true" t="shared" si="72" ref="P61:P68">+O61/M61</f>
        <v>0.06001825045003776</v>
      </c>
      <c r="Q61" s="187">
        <v>1272800</v>
      </c>
      <c r="R61" s="173">
        <v>0</v>
      </c>
      <c r="S61" s="199">
        <f aca="true" t="shared" si="73" ref="S61:S71">+R61</f>
        <v>0</v>
      </c>
      <c r="T61" s="208">
        <f>+S61/Q61</f>
        <v>0</v>
      </c>
      <c r="U61" s="97">
        <f>631637.5-U74</f>
        <v>624437.5</v>
      </c>
      <c r="V61" s="85">
        <f aca="true" t="shared" si="74" ref="V61:V71">+U61+K61</f>
        <v>624437.5</v>
      </c>
      <c r="W61" s="16" t="s">
        <v>3</v>
      </c>
      <c r="X61" s="90">
        <v>10404127</v>
      </c>
      <c r="Y61" s="38">
        <f aca="true" t="shared" si="75" ref="Y61:Y71">+AF61-AC61</f>
        <v>533835</v>
      </c>
      <c r="Z61" s="104">
        <f aca="true" t="shared" si="76" ref="Z61:Z71">+AG61-AD61</f>
        <v>1158272.5</v>
      </c>
      <c r="AA61" s="203">
        <f aca="true" t="shared" si="77" ref="AA61:AA68">+Z61/X61</f>
        <v>0.11132817775100208</v>
      </c>
      <c r="AB61" s="187">
        <v>1272800</v>
      </c>
      <c r="AC61" s="173">
        <v>0</v>
      </c>
      <c r="AD61" s="199">
        <f aca="true" t="shared" si="78" ref="AD61:AD71">+AC61</f>
        <v>0</v>
      </c>
      <c r="AE61" s="208">
        <f>+AD61/AB61</f>
        <v>0</v>
      </c>
      <c r="AF61" s="97">
        <f>533835-AF74</f>
        <v>533835</v>
      </c>
      <c r="AG61" s="85">
        <f aca="true" t="shared" si="79" ref="AG61:AG71">+AF61+V61</f>
        <v>1158272.5</v>
      </c>
      <c r="AH61" s="16" t="s">
        <v>3</v>
      </c>
      <c r="AI61" s="90">
        <v>10404127</v>
      </c>
      <c r="AJ61" s="38">
        <f aca="true" t="shared" si="80" ref="AJ61:AJ71">+AQ61-AN61</f>
        <v>670500</v>
      </c>
      <c r="AK61" s="104">
        <f aca="true" t="shared" si="81" ref="AK61:AK71">+AR61-AO61</f>
        <v>1828772.5</v>
      </c>
      <c r="AL61" s="203">
        <f aca="true" t="shared" si="82" ref="AL61:AL68">+AK61/AI61</f>
        <v>0.175773757855897</v>
      </c>
      <c r="AM61" s="187">
        <v>1272800</v>
      </c>
      <c r="AN61" s="173">
        <v>0</v>
      </c>
      <c r="AO61" s="199">
        <f aca="true" t="shared" si="83" ref="AO61:AO71">+AN61</f>
        <v>0</v>
      </c>
      <c r="AP61" s="208">
        <f>+AO61/AM61</f>
        <v>0</v>
      </c>
      <c r="AQ61" s="97">
        <v>670500</v>
      </c>
      <c r="AR61" s="85">
        <f aca="true" t="shared" si="84" ref="AR61:AR71">+AQ61+AG61</f>
        <v>1828772.5</v>
      </c>
      <c r="AS61" s="16" t="s">
        <v>3</v>
      </c>
      <c r="AT61" s="90">
        <v>19768994</v>
      </c>
      <c r="AU61" s="38">
        <f aca="true" t="shared" si="85" ref="AU61:AU71">+BB61-AY61</f>
        <v>532280</v>
      </c>
      <c r="AV61" s="104">
        <f aca="true" t="shared" si="86" ref="AV61:AV71">+BC61-AZ61</f>
        <v>2361052.5</v>
      </c>
      <c r="AW61" s="203">
        <f aca="true" t="shared" si="87" ref="AW61:AW68">+AV61/AT61</f>
        <v>0.11943210160314682</v>
      </c>
      <c r="AX61" s="187">
        <v>1272800</v>
      </c>
      <c r="AY61" s="173">
        <v>0</v>
      </c>
      <c r="AZ61" s="199">
        <f aca="true" t="shared" si="88" ref="AZ61:AZ71">+AY61</f>
        <v>0</v>
      </c>
      <c r="BA61" s="208">
        <f>+AZ61/AX61</f>
        <v>0</v>
      </c>
      <c r="BB61" s="97">
        <v>532280</v>
      </c>
      <c r="BC61" s="258">
        <f aca="true" t="shared" si="89" ref="BC61:BC71">+BB61+AR61</f>
        <v>2361052.5</v>
      </c>
      <c r="BD61" s="16" t="s">
        <v>3</v>
      </c>
      <c r="BE61" s="90">
        <v>19768994</v>
      </c>
      <c r="BF61" s="38">
        <f aca="true" t="shared" si="90" ref="BF61:BF71">+BM61-BJ61</f>
        <v>427420</v>
      </c>
      <c r="BG61" s="104">
        <f aca="true" t="shared" si="91" ref="BG61:BG71">+BN61-BK61</f>
        <v>2788472.5</v>
      </c>
      <c r="BH61" s="203">
        <f aca="true" t="shared" si="92" ref="BH61:BH68">+BG61/BE61</f>
        <v>0.14105282747316328</v>
      </c>
      <c r="BI61" s="187">
        <v>1272800</v>
      </c>
      <c r="BJ61" s="173">
        <v>0</v>
      </c>
      <c r="BK61" s="199">
        <f aca="true" t="shared" si="93" ref="BK61:BK71">+BJ61</f>
        <v>0</v>
      </c>
      <c r="BL61" s="208">
        <f>+BK61/BI61</f>
        <v>0</v>
      </c>
      <c r="BM61" s="97">
        <v>427420</v>
      </c>
      <c r="BN61" s="258">
        <f aca="true" t="shared" si="94" ref="BN61:BN71">+BM61+BC61</f>
        <v>2788472.5</v>
      </c>
      <c r="BO61" s="16" t="s">
        <v>3</v>
      </c>
      <c r="BP61" s="90">
        <v>19768994</v>
      </c>
      <c r="BQ61" s="38">
        <f aca="true" t="shared" si="95" ref="BQ61:BQ71">+BX61-BU61</f>
        <v>12687769.73</v>
      </c>
      <c r="BR61" s="104">
        <f aca="true" t="shared" si="96" ref="BR61:BR71">+BY61-BV61</f>
        <v>15476242.23</v>
      </c>
      <c r="BS61" s="203">
        <f aca="true" t="shared" si="97" ref="BS61:BS68">+BR61/BP61</f>
        <v>0.7828543136792899</v>
      </c>
      <c r="BT61" s="187">
        <v>1272800</v>
      </c>
      <c r="BU61" s="173">
        <v>0</v>
      </c>
      <c r="BV61" s="199">
        <f aca="true" t="shared" si="98" ref="BV61:BV71">+BU61</f>
        <v>0</v>
      </c>
      <c r="BW61" s="208">
        <f>+BV61/BT61</f>
        <v>0</v>
      </c>
      <c r="BX61" s="97">
        <v>12687769.73</v>
      </c>
      <c r="BY61" s="258">
        <f aca="true" t="shared" si="99" ref="BY61:BY71">+BX61+BN61</f>
        <v>15476242.23</v>
      </c>
      <c r="BZ61" s="16" t="s">
        <v>3</v>
      </c>
      <c r="CA61" s="90">
        <v>19768994</v>
      </c>
      <c r="CB61" s="38">
        <f aca="true" t="shared" si="100" ref="CB61:CB71">+CI61-CF61</f>
        <v>641845</v>
      </c>
      <c r="CC61" s="104">
        <f aca="true" t="shared" si="101" ref="CC61:CC71">+CJ61-CG61</f>
        <v>16118087.23</v>
      </c>
      <c r="CD61" s="203">
        <f aca="true" t="shared" si="102" ref="CD61:CD68">+CC61/CA61</f>
        <v>0.8153215702326583</v>
      </c>
      <c r="CE61" s="187">
        <v>1272800</v>
      </c>
      <c r="CF61" s="173">
        <v>0</v>
      </c>
      <c r="CG61" s="199">
        <f aca="true" t="shared" si="103" ref="CG61:CG71">+CF61</f>
        <v>0</v>
      </c>
      <c r="CH61" s="208">
        <f>+CG61/CE61</f>
        <v>0</v>
      </c>
      <c r="CI61" s="97">
        <v>641845</v>
      </c>
      <c r="CJ61" s="258">
        <f aca="true" t="shared" si="104" ref="CJ61:CJ71">+CI61+BY61</f>
        <v>16118087.23</v>
      </c>
      <c r="CK61" s="16" t="s">
        <v>3</v>
      </c>
      <c r="CL61" s="90">
        <v>19768994</v>
      </c>
      <c r="CM61" s="38">
        <f aca="true" t="shared" si="105" ref="CM61:CM71">+CT61-CQ61</f>
        <v>604600</v>
      </c>
      <c r="CN61" s="104">
        <f aca="true" t="shared" si="106" ref="CN61:CN71">+CU61-CR61</f>
        <v>16722687.23</v>
      </c>
      <c r="CO61" s="203">
        <f aca="true" t="shared" si="107" ref="CO61:CO68">+CN61/CL61</f>
        <v>0.8459048158950324</v>
      </c>
      <c r="CP61" s="187">
        <v>1272800</v>
      </c>
      <c r="CQ61" s="173">
        <v>0</v>
      </c>
      <c r="CR61" s="199">
        <f aca="true" t="shared" si="108" ref="CR61:CR71">+CQ61</f>
        <v>0</v>
      </c>
      <c r="CS61" s="208">
        <f>+CR61/CP61</f>
        <v>0</v>
      </c>
      <c r="CT61" s="97">
        <v>604600</v>
      </c>
      <c r="CU61" s="258">
        <f>+CT61+CJ61</f>
        <v>16722687.23</v>
      </c>
      <c r="CV61" s="16" t="s">
        <v>3</v>
      </c>
      <c r="CW61" s="90">
        <v>19768994</v>
      </c>
      <c r="CX61" s="38">
        <f aca="true" t="shared" si="109" ref="CX61:CX71">+DE61-DB61</f>
        <v>630730</v>
      </c>
      <c r="CY61" s="104">
        <f aca="true" t="shared" si="110" ref="CY61:CY71">+DF61-DC61</f>
        <v>17353417.23</v>
      </c>
      <c r="CZ61" s="203">
        <f aca="true" t="shared" si="111" ref="CZ61:CZ68">+CY61/CW61</f>
        <v>0.8778098283605125</v>
      </c>
      <c r="DA61" s="187">
        <v>1272800</v>
      </c>
      <c r="DB61" s="173">
        <v>0</v>
      </c>
      <c r="DC61" s="199">
        <f aca="true" t="shared" si="112" ref="DC61:DC71">+DB61</f>
        <v>0</v>
      </c>
      <c r="DD61" s="208">
        <f>+DC61/DA61</f>
        <v>0</v>
      </c>
      <c r="DE61" s="97">
        <v>630730</v>
      </c>
      <c r="DF61" s="258">
        <f>+DE61+CU61</f>
        <v>17353417.23</v>
      </c>
      <c r="DG61" s="16" t="s">
        <v>3</v>
      </c>
      <c r="DH61" s="90">
        <v>19768994</v>
      </c>
      <c r="DI61" s="283">
        <v>686845</v>
      </c>
      <c r="DJ61" s="104">
        <f aca="true" t="shared" si="113" ref="DJ61:DJ71">+DQ61-DN61</f>
        <v>18040262.23</v>
      </c>
      <c r="DK61" s="203">
        <f aca="true" t="shared" si="114" ref="DK61:DK68">+DJ61/DH61</f>
        <v>0.9125533767676798</v>
      </c>
      <c r="DL61" s="187">
        <v>1272800</v>
      </c>
      <c r="DM61" s="173">
        <v>0</v>
      </c>
      <c r="DN61" s="199">
        <f aca="true" t="shared" si="115" ref="DN61:DN71">+DM61</f>
        <v>0</v>
      </c>
      <c r="DO61" s="208">
        <f>+DN61/DL61</f>
        <v>0</v>
      </c>
      <c r="DP61" s="97">
        <v>686845</v>
      </c>
      <c r="DQ61" s="258">
        <f>+DP61+DF61</f>
        <v>18040262.23</v>
      </c>
    </row>
    <row r="62" spans="1:121" ht="21">
      <c r="A62" s="16" t="s">
        <v>4</v>
      </c>
      <c r="B62" s="90">
        <v>17756975</v>
      </c>
      <c r="C62" s="38">
        <f t="shared" si="65"/>
        <v>271211</v>
      </c>
      <c r="D62" s="104">
        <f t="shared" si="66"/>
        <v>271211</v>
      </c>
      <c r="E62" s="203">
        <f>+D62/B62</f>
        <v>0.01527349112109467</v>
      </c>
      <c r="F62" s="187">
        <v>2094520</v>
      </c>
      <c r="G62" s="173">
        <v>0</v>
      </c>
      <c r="H62" s="199">
        <f t="shared" si="68"/>
        <v>0</v>
      </c>
      <c r="I62" s="208">
        <f aca="true" t="shared" si="116" ref="I62:I70">+H62/F62</f>
        <v>0</v>
      </c>
      <c r="J62" s="97">
        <v>271211</v>
      </c>
      <c r="K62" s="85">
        <f t="shared" si="69"/>
        <v>271211</v>
      </c>
      <c r="L62" s="16" t="s">
        <v>4</v>
      </c>
      <c r="M62" s="90">
        <v>17756975</v>
      </c>
      <c r="N62" s="38">
        <f t="shared" si="70"/>
        <v>441581.58999999997</v>
      </c>
      <c r="O62" s="104">
        <f t="shared" si="71"/>
        <v>712792.59</v>
      </c>
      <c r="P62" s="203">
        <f t="shared" si="72"/>
        <v>0.04014155507906048</v>
      </c>
      <c r="Q62" s="187">
        <v>2094520</v>
      </c>
      <c r="R62" s="173">
        <v>0</v>
      </c>
      <c r="S62" s="199">
        <f t="shared" si="73"/>
        <v>0</v>
      </c>
      <c r="T62" s="208">
        <f>+S62/Q62</f>
        <v>0</v>
      </c>
      <c r="U62" s="97">
        <f>712215.59-U75</f>
        <v>441581.58999999997</v>
      </c>
      <c r="V62" s="85">
        <f t="shared" si="74"/>
        <v>712792.59</v>
      </c>
      <c r="W62" s="16" t="s">
        <v>4</v>
      </c>
      <c r="X62" s="90">
        <v>17756975</v>
      </c>
      <c r="Y62" s="38">
        <f t="shared" si="75"/>
        <v>1743624.9</v>
      </c>
      <c r="Z62" s="104">
        <f t="shared" si="76"/>
        <v>2456417.4899999998</v>
      </c>
      <c r="AA62" s="203">
        <f t="shared" si="77"/>
        <v>0.138335357796021</v>
      </c>
      <c r="AB62" s="187">
        <v>2094520</v>
      </c>
      <c r="AC62" s="173">
        <v>0</v>
      </c>
      <c r="AD62" s="199">
        <f t="shared" si="78"/>
        <v>0</v>
      </c>
      <c r="AE62" s="208">
        <f>+AD62/AB62</f>
        <v>0</v>
      </c>
      <c r="AF62" s="97">
        <f>1743624.9-AF75</f>
        <v>1743624.9</v>
      </c>
      <c r="AG62" s="85">
        <f t="shared" si="79"/>
        <v>2456417.4899999998</v>
      </c>
      <c r="AH62" s="16" t="s">
        <v>4</v>
      </c>
      <c r="AI62" s="90">
        <v>17756975</v>
      </c>
      <c r="AJ62" s="38">
        <f t="shared" si="80"/>
        <v>1883538.84</v>
      </c>
      <c r="AK62" s="104">
        <f t="shared" si="81"/>
        <v>4339956.33</v>
      </c>
      <c r="AL62" s="203">
        <f t="shared" si="82"/>
        <v>0.24440853974283344</v>
      </c>
      <c r="AM62" s="187">
        <v>2094520</v>
      </c>
      <c r="AN62" s="173">
        <v>0</v>
      </c>
      <c r="AO62" s="199">
        <f t="shared" si="83"/>
        <v>0</v>
      </c>
      <c r="AP62" s="208">
        <f>+AO62/AM62</f>
        <v>0</v>
      </c>
      <c r="AQ62" s="97">
        <v>1883538.84</v>
      </c>
      <c r="AR62" s="85">
        <f t="shared" si="84"/>
        <v>4339956.33</v>
      </c>
      <c r="AS62" s="16" t="s">
        <v>4</v>
      </c>
      <c r="AT62" s="90">
        <v>20809583</v>
      </c>
      <c r="AU62" s="38">
        <f t="shared" si="85"/>
        <v>1644428.43</v>
      </c>
      <c r="AV62" s="104">
        <f t="shared" si="86"/>
        <v>5984384.76</v>
      </c>
      <c r="AW62" s="203">
        <f t="shared" si="87"/>
        <v>0.2875783123573404</v>
      </c>
      <c r="AX62" s="187">
        <v>2094520</v>
      </c>
      <c r="AY62" s="173">
        <v>0</v>
      </c>
      <c r="AZ62" s="199">
        <f t="shared" si="88"/>
        <v>0</v>
      </c>
      <c r="BA62" s="208">
        <f>+AZ62/AX62</f>
        <v>0</v>
      </c>
      <c r="BB62" s="97">
        <v>1644428.43</v>
      </c>
      <c r="BC62" s="258">
        <f t="shared" si="89"/>
        <v>5984384.76</v>
      </c>
      <c r="BD62" s="16" t="s">
        <v>4</v>
      </c>
      <c r="BE62" s="90">
        <v>20809583</v>
      </c>
      <c r="BF62" s="38">
        <f t="shared" si="90"/>
        <v>1564099.6</v>
      </c>
      <c r="BG62" s="104">
        <f t="shared" si="91"/>
        <v>7548484.359999999</v>
      </c>
      <c r="BH62" s="203">
        <f t="shared" si="92"/>
        <v>0.3627407795725652</v>
      </c>
      <c r="BI62" s="187">
        <v>2094520</v>
      </c>
      <c r="BJ62" s="173">
        <v>0</v>
      </c>
      <c r="BK62" s="199">
        <f t="shared" si="93"/>
        <v>0</v>
      </c>
      <c r="BL62" s="208">
        <f>+BK62/BI62</f>
        <v>0</v>
      </c>
      <c r="BM62" s="97">
        <v>1564099.6</v>
      </c>
      <c r="BN62" s="258">
        <f t="shared" si="94"/>
        <v>7548484.359999999</v>
      </c>
      <c r="BO62" s="16" t="s">
        <v>4</v>
      </c>
      <c r="BP62" s="90">
        <v>20809583</v>
      </c>
      <c r="BQ62" s="38">
        <f t="shared" si="95"/>
        <v>1398309.56</v>
      </c>
      <c r="BR62" s="104">
        <f t="shared" si="96"/>
        <v>8946793.92</v>
      </c>
      <c r="BS62" s="203">
        <f t="shared" si="97"/>
        <v>0.4299362423552649</v>
      </c>
      <c r="BT62" s="187">
        <v>2094520</v>
      </c>
      <c r="BU62" s="173">
        <v>0</v>
      </c>
      <c r="BV62" s="199">
        <f t="shared" si="98"/>
        <v>0</v>
      </c>
      <c r="BW62" s="208">
        <f>+BV62/BT62</f>
        <v>0</v>
      </c>
      <c r="BX62" s="97">
        <v>1398309.56</v>
      </c>
      <c r="BY62" s="258">
        <f t="shared" si="99"/>
        <v>8946793.92</v>
      </c>
      <c r="BZ62" s="16" t="s">
        <v>4</v>
      </c>
      <c r="CA62" s="90">
        <v>20809583</v>
      </c>
      <c r="CB62" s="38">
        <f t="shared" si="100"/>
        <v>2197768.95</v>
      </c>
      <c r="CC62" s="104">
        <f t="shared" si="101"/>
        <v>11144562.870000001</v>
      </c>
      <c r="CD62" s="203">
        <f t="shared" si="102"/>
        <v>0.5355495528190065</v>
      </c>
      <c r="CE62" s="187">
        <v>2094520</v>
      </c>
      <c r="CF62" s="173">
        <v>0</v>
      </c>
      <c r="CG62" s="199">
        <f t="shared" si="103"/>
        <v>0</v>
      </c>
      <c r="CH62" s="208">
        <f>+CG62/CE62</f>
        <v>0</v>
      </c>
      <c r="CI62" s="97">
        <v>2197768.95</v>
      </c>
      <c r="CJ62" s="258">
        <f t="shared" si="104"/>
        <v>11144562.870000001</v>
      </c>
      <c r="CK62" s="16" t="s">
        <v>4</v>
      </c>
      <c r="CL62" s="90">
        <v>20809583</v>
      </c>
      <c r="CM62" s="38">
        <f t="shared" si="105"/>
        <v>1860295.04</v>
      </c>
      <c r="CN62" s="104">
        <f t="shared" si="106"/>
        <v>13004857.91</v>
      </c>
      <c r="CO62" s="203">
        <f t="shared" si="107"/>
        <v>0.624945627694702</v>
      </c>
      <c r="CP62" s="187">
        <v>2094520</v>
      </c>
      <c r="CQ62" s="173">
        <v>0</v>
      </c>
      <c r="CR62" s="199">
        <f t="shared" si="108"/>
        <v>0</v>
      </c>
      <c r="CS62" s="208">
        <f>+CR62/CP62</f>
        <v>0</v>
      </c>
      <c r="CT62" s="97">
        <v>1860295.04</v>
      </c>
      <c r="CU62" s="258">
        <f>+CT62+CJ62</f>
        <v>13004857.91</v>
      </c>
      <c r="CV62" s="16" t="s">
        <v>4</v>
      </c>
      <c r="CW62" s="90">
        <v>20809583</v>
      </c>
      <c r="CX62" s="38">
        <f t="shared" si="109"/>
        <v>1911819.9</v>
      </c>
      <c r="CY62" s="104">
        <f t="shared" si="110"/>
        <v>14916677.81</v>
      </c>
      <c r="CZ62" s="203">
        <f t="shared" si="111"/>
        <v>0.7168177185482285</v>
      </c>
      <c r="DA62" s="187">
        <v>2094520</v>
      </c>
      <c r="DB62" s="173">
        <v>0</v>
      </c>
      <c r="DC62" s="199">
        <f t="shared" si="112"/>
        <v>0</v>
      </c>
      <c r="DD62" s="208">
        <f>+DC62/DA62</f>
        <v>0</v>
      </c>
      <c r="DE62" s="97">
        <v>1911819.9</v>
      </c>
      <c r="DF62" s="258">
        <f>+DE62+CU62</f>
        <v>14916677.81</v>
      </c>
      <c r="DG62" s="16" t="s">
        <v>4</v>
      </c>
      <c r="DH62" s="90">
        <v>20809583</v>
      </c>
      <c r="DI62" s="283">
        <v>3497690.41</v>
      </c>
      <c r="DJ62" s="104">
        <f t="shared" si="113"/>
        <v>18414368.22</v>
      </c>
      <c r="DK62" s="203">
        <f t="shared" si="114"/>
        <v>0.88489847297757</v>
      </c>
      <c r="DL62" s="187">
        <v>2094520</v>
      </c>
      <c r="DM62" s="173">
        <v>0</v>
      </c>
      <c r="DN62" s="199">
        <f t="shared" si="115"/>
        <v>0</v>
      </c>
      <c r="DO62" s="208">
        <f>+DN62/DL62</f>
        <v>0</v>
      </c>
      <c r="DP62" s="97">
        <v>3497690.41</v>
      </c>
      <c r="DQ62" s="258">
        <f>+DP62+DF62</f>
        <v>18414368.22</v>
      </c>
    </row>
    <row r="63" spans="1:121" ht="21">
      <c r="A63" s="16" t="s">
        <v>5</v>
      </c>
      <c r="B63" s="90">
        <f>61501650-B64-B65</f>
        <v>6803275</v>
      </c>
      <c r="C63" s="38">
        <f t="shared" si="65"/>
        <v>0</v>
      </c>
      <c r="D63" s="104">
        <f t="shared" si="66"/>
        <v>0</v>
      </c>
      <c r="E63" s="203">
        <f t="shared" si="67"/>
        <v>0</v>
      </c>
      <c r="F63" s="187">
        <f>1570500-F64</f>
        <v>550500</v>
      </c>
      <c r="G63" s="173">
        <v>0</v>
      </c>
      <c r="H63" s="199">
        <f t="shared" si="68"/>
        <v>0</v>
      </c>
      <c r="I63" s="208">
        <f t="shared" si="116"/>
        <v>0</v>
      </c>
      <c r="J63" s="97">
        <v>0</v>
      </c>
      <c r="K63" s="85">
        <f t="shared" si="69"/>
        <v>0</v>
      </c>
      <c r="L63" s="16" t="s">
        <v>5</v>
      </c>
      <c r="M63" s="90">
        <f>61501650-M64-M65</f>
        <v>6803275</v>
      </c>
      <c r="N63" s="38">
        <f t="shared" si="70"/>
        <v>43869.639999999985</v>
      </c>
      <c r="O63" s="104">
        <f t="shared" si="71"/>
        <v>43869.639999999985</v>
      </c>
      <c r="P63" s="203">
        <f t="shared" si="72"/>
        <v>0.006448312026193265</v>
      </c>
      <c r="Q63" s="187">
        <f>1570500-Q64</f>
        <v>550500</v>
      </c>
      <c r="R63" s="173">
        <v>0</v>
      </c>
      <c r="S63" s="199">
        <f t="shared" si="73"/>
        <v>0</v>
      </c>
      <c r="T63" s="208">
        <f>+S63/Q63</f>
        <v>0</v>
      </c>
      <c r="U63" s="97">
        <f>294799.97-U76</f>
        <v>43869.639999999985</v>
      </c>
      <c r="V63" s="85">
        <f t="shared" si="74"/>
        <v>43869.639999999985</v>
      </c>
      <c r="W63" s="16" t="s">
        <v>5</v>
      </c>
      <c r="X63" s="90">
        <f>61501650-X64-X65</f>
        <v>6803275</v>
      </c>
      <c r="Y63" s="38">
        <f t="shared" si="75"/>
        <v>2359519.73</v>
      </c>
      <c r="Z63" s="104">
        <f t="shared" si="76"/>
        <v>2403389.37</v>
      </c>
      <c r="AA63" s="203">
        <f t="shared" si="77"/>
        <v>0.35326947242320794</v>
      </c>
      <c r="AB63" s="187">
        <f>1570500-AB64</f>
        <v>550500</v>
      </c>
      <c r="AC63" s="173">
        <v>0</v>
      </c>
      <c r="AD63" s="199">
        <f t="shared" si="78"/>
        <v>0</v>
      </c>
      <c r="AE63" s="208">
        <f>+AD63/AB63</f>
        <v>0</v>
      </c>
      <c r="AF63" s="97">
        <f>2359519.73-AF76</f>
        <v>2359519.73</v>
      </c>
      <c r="AG63" s="85">
        <f t="shared" si="79"/>
        <v>2403389.37</v>
      </c>
      <c r="AH63" s="16" t="s">
        <v>5</v>
      </c>
      <c r="AI63" s="90">
        <f>61501650-AI64-AI65</f>
        <v>6803275</v>
      </c>
      <c r="AJ63" s="38">
        <f t="shared" si="80"/>
        <v>1303031.4400000004</v>
      </c>
      <c r="AK63" s="104">
        <f t="shared" si="81"/>
        <v>3706420.8100000005</v>
      </c>
      <c r="AL63" s="203">
        <f t="shared" si="82"/>
        <v>0.5447994987708127</v>
      </c>
      <c r="AM63" s="187">
        <f>1570500-AM64</f>
        <v>550500</v>
      </c>
      <c r="AN63" s="173">
        <v>0</v>
      </c>
      <c r="AO63" s="199">
        <f t="shared" si="83"/>
        <v>0</v>
      </c>
      <c r="AP63" s="208">
        <f>+AO63/AM63</f>
        <v>0</v>
      </c>
      <c r="AQ63" s="97">
        <f>5624998.44-AQ64-AQ65</f>
        <v>1303031.4400000004</v>
      </c>
      <c r="AR63" s="85">
        <f t="shared" si="84"/>
        <v>3706420.8100000005</v>
      </c>
      <c r="AS63" s="16" t="s">
        <v>5</v>
      </c>
      <c r="AT63" s="90">
        <v>63181015</v>
      </c>
      <c r="AU63" s="38">
        <f t="shared" si="85"/>
        <v>451143.25</v>
      </c>
      <c r="AV63" s="104">
        <f t="shared" si="86"/>
        <v>4157564.0600000005</v>
      </c>
      <c r="AW63" s="203">
        <f t="shared" si="87"/>
        <v>0.06580400868836946</v>
      </c>
      <c r="AX63" s="187">
        <f>1570500-AX64</f>
        <v>550500</v>
      </c>
      <c r="AY63" s="173">
        <v>0</v>
      </c>
      <c r="AZ63" s="199">
        <f t="shared" si="88"/>
        <v>0</v>
      </c>
      <c r="BA63" s="208">
        <f>+AZ63/AX63</f>
        <v>0</v>
      </c>
      <c r="BB63" s="97">
        <v>451143.25</v>
      </c>
      <c r="BC63" s="258">
        <f t="shared" si="89"/>
        <v>4157564.0600000005</v>
      </c>
      <c r="BD63" s="16" t="s">
        <v>5</v>
      </c>
      <c r="BE63" s="90">
        <v>63181015</v>
      </c>
      <c r="BF63" s="38">
        <f t="shared" si="90"/>
        <v>960318.48</v>
      </c>
      <c r="BG63" s="104">
        <f t="shared" si="91"/>
        <v>5117882.540000001</v>
      </c>
      <c r="BH63" s="203">
        <f t="shared" si="92"/>
        <v>0.08100348720260352</v>
      </c>
      <c r="BI63" s="187">
        <f>1570500-BI64</f>
        <v>550500</v>
      </c>
      <c r="BJ63" s="173">
        <v>0</v>
      </c>
      <c r="BK63" s="199">
        <f t="shared" si="93"/>
        <v>0</v>
      </c>
      <c r="BL63" s="208">
        <f>+BK63/BI63</f>
        <v>0</v>
      </c>
      <c r="BM63" s="97">
        <v>960318.48</v>
      </c>
      <c r="BN63" s="258">
        <f t="shared" si="94"/>
        <v>5117882.540000001</v>
      </c>
      <c r="BO63" s="16" t="s">
        <v>5</v>
      </c>
      <c r="BP63" s="90">
        <v>63181015</v>
      </c>
      <c r="BQ63" s="38">
        <f t="shared" si="95"/>
        <v>1662843.35</v>
      </c>
      <c r="BR63" s="104">
        <f t="shared" si="96"/>
        <v>6780725.890000001</v>
      </c>
      <c r="BS63" s="203">
        <f t="shared" si="97"/>
        <v>0.10732220572904694</v>
      </c>
      <c r="BT63" s="187">
        <f>1570500-BT64</f>
        <v>550500</v>
      </c>
      <c r="BU63" s="173">
        <v>0</v>
      </c>
      <c r="BV63" s="199">
        <f t="shared" si="98"/>
        <v>0</v>
      </c>
      <c r="BW63" s="208">
        <f>+BV63/BT63</f>
        <v>0</v>
      </c>
      <c r="BX63" s="97">
        <v>1662843.35</v>
      </c>
      <c r="BY63" s="258">
        <f t="shared" si="99"/>
        <v>6780725.890000001</v>
      </c>
      <c r="BZ63" s="16" t="s">
        <v>5</v>
      </c>
      <c r="CA63" s="90">
        <v>63181015</v>
      </c>
      <c r="CB63" s="38">
        <f t="shared" si="100"/>
        <v>1246400.53</v>
      </c>
      <c r="CC63" s="104">
        <f t="shared" si="101"/>
        <v>8027126.420000001</v>
      </c>
      <c r="CD63" s="203">
        <f t="shared" si="102"/>
        <v>0.12704965914206984</v>
      </c>
      <c r="CE63" s="187">
        <f>1570500-CE64</f>
        <v>550500</v>
      </c>
      <c r="CF63" s="173">
        <v>0</v>
      </c>
      <c r="CG63" s="199">
        <f t="shared" si="103"/>
        <v>0</v>
      </c>
      <c r="CH63" s="208">
        <f>+CG63/CE63</f>
        <v>0</v>
      </c>
      <c r="CI63" s="97">
        <v>1246400.53</v>
      </c>
      <c r="CJ63" s="258">
        <f>+CI63+BY63</f>
        <v>8027126.420000001</v>
      </c>
      <c r="CK63" s="16" t="s">
        <v>5</v>
      </c>
      <c r="CL63" s="90">
        <v>63181015</v>
      </c>
      <c r="CM63" s="38">
        <f t="shared" si="105"/>
        <v>8000729.23</v>
      </c>
      <c r="CN63" s="104">
        <f t="shared" si="106"/>
        <v>16027855.650000002</v>
      </c>
      <c r="CO63" s="203">
        <f t="shared" si="107"/>
        <v>0.25368151572113873</v>
      </c>
      <c r="CP63" s="187">
        <f>1570500-CP64</f>
        <v>550500</v>
      </c>
      <c r="CQ63" s="173">
        <v>0</v>
      </c>
      <c r="CR63" s="199">
        <f t="shared" si="108"/>
        <v>0</v>
      </c>
      <c r="CS63" s="208">
        <f>+CR63/CP63</f>
        <v>0</v>
      </c>
      <c r="CT63" s="97">
        <v>8000729.23</v>
      </c>
      <c r="CU63" s="258">
        <f>+CT63+CJ63</f>
        <v>16027855.650000002</v>
      </c>
      <c r="CV63" s="16" t="s">
        <v>5</v>
      </c>
      <c r="CW63" s="90">
        <v>63181015</v>
      </c>
      <c r="CX63" s="38">
        <f t="shared" si="109"/>
        <v>6149982.91</v>
      </c>
      <c r="CY63" s="104">
        <f t="shared" si="110"/>
        <v>22177838.560000002</v>
      </c>
      <c r="CZ63" s="203">
        <f t="shared" si="111"/>
        <v>0.3510206121253355</v>
      </c>
      <c r="DA63" s="187">
        <f>1570500-DA64</f>
        <v>550500</v>
      </c>
      <c r="DB63" s="173">
        <v>0</v>
      </c>
      <c r="DC63" s="199">
        <f t="shared" si="112"/>
        <v>0</v>
      </c>
      <c r="DD63" s="208">
        <f>+DC63/DA63</f>
        <v>0</v>
      </c>
      <c r="DE63" s="97">
        <v>6149982.91</v>
      </c>
      <c r="DF63" s="258">
        <f>+DE63+CU63</f>
        <v>22177838.560000002</v>
      </c>
      <c r="DG63" s="16" t="s">
        <v>5</v>
      </c>
      <c r="DH63" s="90">
        <v>63181015</v>
      </c>
      <c r="DI63" s="283">
        <v>4512763.85</v>
      </c>
      <c r="DJ63" s="104">
        <f t="shared" si="113"/>
        <v>26690602.410000004</v>
      </c>
      <c r="DK63" s="203">
        <f t="shared" si="114"/>
        <v>0.4224465594609394</v>
      </c>
      <c r="DL63" s="187">
        <f>1570500-DL64</f>
        <v>550500</v>
      </c>
      <c r="DM63" s="173">
        <v>0</v>
      </c>
      <c r="DN63" s="199">
        <f>+DM63</f>
        <v>0</v>
      </c>
      <c r="DO63" s="208">
        <f>+DN63/DL63</f>
        <v>0</v>
      </c>
      <c r="DP63" s="97">
        <v>4512763.85</v>
      </c>
      <c r="DQ63" s="258">
        <f>+DP63+DF63</f>
        <v>26690602.410000004</v>
      </c>
    </row>
    <row r="64" spans="1:121" ht="21">
      <c r="A64" s="16" t="s">
        <v>143</v>
      </c>
      <c r="B64" s="90">
        <f>38000000+800000+1300000</f>
        <v>40100000</v>
      </c>
      <c r="C64" s="38">
        <f t="shared" si="65"/>
        <v>0</v>
      </c>
      <c r="D64" s="104">
        <f t="shared" si="66"/>
        <v>0</v>
      </c>
      <c r="E64" s="203">
        <f t="shared" si="67"/>
        <v>0</v>
      </c>
      <c r="F64" s="187">
        <f>1000000+10000+10000</f>
        <v>1020000</v>
      </c>
      <c r="G64" s="173">
        <v>0</v>
      </c>
      <c r="H64" s="199">
        <f t="shared" si="68"/>
        <v>0</v>
      </c>
      <c r="I64" s="203">
        <v>0</v>
      </c>
      <c r="J64" s="97">
        <v>0</v>
      </c>
      <c r="K64" s="85">
        <f t="shared" si="69"/>
        <v>0</v>
      </c>
      <c r="L64" s="16" t="s">
        <v>143</v>
      </c>
      <c r="M64" s="90">
        <f>38000000+800000+1300000</f>
        <v>40100000</v>
      </c>
      <c r="N64" s="38">
        <f t="shared" si="70"/>
        <v>0</v>
      </c>
      <c r="O64" s="104">
        <f t="shared" si="71"/>
        <v>0</v>
      </c>
      <c r="P64" s="203">
        <f t="shared" si="72"/>
        <v>0</v>
      </c>
      <c r="Q64" s="187">
        <f>1000000+10000+10000</f>
        <v>1020000</v>
      </c>
      <c r="R64" s="173">
        <v>0</v>
      </c>
      <c r="S64" s="199">
        <f t="shared" si="73"/>
        <v>0</v>
      </c>
      <c r="T64" s="203">
        <v>0</v>
      </c>
      <c r="U64" s="97">
        <v>0</v>
      </c>
      <c r="V64" s="85">
        <f t="shared" si="74"/>
        <v>0</v>
      </c>
      <c r="W64" s="16" t="s">
        <v>143</v>
      </c>
      <c r="X64" s="90">
        <f>38000000+800000+1300000</f>
        <v>40100000</v>
      </c>
      <c r="Y64" s="38">
        <f t="shared" si="75"/>
        <v>0</v>
      </c>
      <c r="Z64" s="104">
        <f t="shared" si="76"/>
        <v>0</v>
      </c>
      <c r="AA64" s="203">
        <f t="shared" si="77"/>
        <v>0</v>
      </c>
      <c r="AB64" s="187">
        <f>1000000+10000+10000</f>
        <v>1020000</v>
      </c>
      <c r="AC64" s="173">
        <v>0</v>
      </c>
      <c r="AD64" s="199">
        <f t="shared" si="78"/>
        <v>0</v>
      </c>
      <c r="AE64" s="203">
        <v>0</v>
      </c>
      <c r="AF64" s="97">
        <v>0</v>
      </c>
      <c r="AG64" s="85">
        <f t="shared" si="79"/>
        <v>0</v>
      </c>
      <c r="AH64" s="16" t="s">
        <v>143</v>
      </c>
      <c r="AI64" s="90">
        <f>38000000+800000+1300000</f>
        <v>40100000</v>
      </c>
      <c r="AJ64" s="38">
        <f t="shared" si="80"/>
        <v>3844814.9</v>
      </c>
      <c r="AK64" s="104">
        <f t="shared" si="81"/>
        <v>3844814.9</v>
      </c>
      <c r="AL64" s="203">
        <f t="shared" si="82"/>
        <v>0.09588067082294265</v>
      </c>
      <c r="AM64" s="187">
        <f>1000000+10000+10000</f>
        <v>1020000</v>
      </c>
      <c r="AN64" s="173">
        <v>0</v>
      </c>
      <c r="AO64" s="199">
        <f t="shared" si="83"/>
        <v>0</v>
      </c>
      <c r="AP64" s="203">
        <v>0</v>
      </c>
      <c r="AQ64" s="97">
        <v>3844814.9</v>
      </c>
      <c r="AR64" s="85">
        <f t="shared" si="84"/>
        <v>3844814.9</v>
      </c>
      <c r="AS64" s="16" t="s">
        <v>143</v>
      </c>
      <c r="AT64" s="90">
        <f>38000000+800000+1300000</f>
        <v>40100000</v>
      </c>
      <c r="AU64" s="38">
        <f t="shared" si="85"/>
        <v>9614680.3</v>
      </c>
      <c r="AV64" s="104">
        <f t="shared" si="86"/>
        <v>13459495.200000001</v>
      </c>
      <c r="AW64" s="203">
        <f t="shared" si="87"/>
        <v>0.33564825935162096</v>
      </c>
      <c r="AX64" s="187">
        <f>1000000+10000+10000</f>
        <v>1020000</v>
      </c>
      <c r="AY64" s="173">
        <v>0</v>
      </c>
      <c r="AZ64" s="199">
        <f t="shared" si="88"/>
        <v>0</v>
      </c>
      <c r="BA64" s="203">
        <v>0</v>
      </c>
      <c r="BB64" s="97">
        <f>9895480.3-BB76</f>
        <v>9614680.3</v>
      </c>
      <c r="BC64" s="258">
        <f t="shared" si="89"/>
        <v>13459495.200000001</v>
      </c>
      <c r="BD64" s="16" t="s">
        <v>143</v>
      </c>
      <c r="BE64" s="90">
        <f>38000000+800000+1300000</f>
        <v>40100000</v>
      </c>
      <c r="BF64" s="38">
        <f t="shared" si="90"/>
        <v>28290</v>
      </c>
      <c r="BG64" s="104">
        <f t="shared" si="91"/>
        <v>13487785.200000001</v>
      </c>
      <c r="BH64" s="203">
        <f t="shared" si="92"/>
        <v>0.33635374563591025</v>
      </c>
      <c r="BI64" s="187">
        <f>1000000+10000+10000</f>
        <v>1020000</v>
      </c>
      <c r="BJ64" s="173">
        <v>0</v>
      </c>
      <c r="BK64" s="199">
        <f t="shared" si="93"/>
        <v>0</v>
      </c>
      <c r="BL64" s="203">
        <v>0</v>
      </c>
      <c r="BM64" s="97">
        <v>28290</v>
      </c>
      <c r="BN64" s="258">
        <f t="shared" si="94"/>
        <v>13487785.200000001</v>
      </c>
      <c r="BO64" s="16" t="s">
        <v>143</v>
      </c>
      <c r="BP64" s="90">
        <f>38000000+800000+1300000</f>
        <v>40100000</v>
      </c>
      <c r="BQ64" s="38">
        <f t="shared" si="95"/>
        <v>0</v>
      </c>
      <c r="BR64" s="104">
        <f t="shared" si="96"/>
        <v>13487785.200000001</v>
      </c>
      <c r="BS64" s="203">
        <f t="shared" si="97"/>
        <v>0.33635374563591025</v>
      </c>
      <c r="BT64" s="187">
        <f>1000000+10000+10000</f>
        <v>1020000</v>
      </c>
      <c r="BU64" s="173">
        <v>0</v>
      </c>
      <c r="BV64" s="199">
        <f t="shared" si="98"/>
        <v>0</v>
      </c>
      <c r="BW64" s="203">
        <v>0</v>
      </c>
      <c r="BX64" s="97">
        <v>0</v>
      </c>
      <c r="BY64" s="258">
        <f t="shared" si="99"/>
        <v>13487785.200000001</v>
      </c>
      <c r="BZ64" s="16" t="s">
        <v>143</v>
      </c>
      <c r="CA64" s="90">
        <f>38000000+800000+1300000</f>
        <v>40100000</v>
      </c>
      <c r="CB64" s="38">
        <f t="shared" si="100"/>
        <v>0</v>
      </c>
      <c r="CC64" s="104">
        <f t="shared" si="101"/>
        <v>13487785.200000001</v>
      </c>
      <c r="CD64" s="203">
        <f t="shared" si="102"/>
        <v>0.33635374563591025</v>
      </c>
      <c r="CE64" s="187">
        <f>1000000+10000+10000</f>
        <v>1020000</v>
      </c>
      <c r="CF64" s="173">
        <v>0</v>
      </c>
      <c r="CG64" s="199">
        <f t="shared" si="103"/>
        <v>0</v>
      </c>
      <c r="CH64" s="203">
        <v>0</v>
      </c>
      <c r="CI64" s="97">
        <v>0</v>
      </c>
      <c r="CJ64" s="258">
        <f t="shared" si="104"/>
        <v>13487785.200000001</v>
      </c>
      <c r="CK64" s="16" t="s">
        <v>143</v>
      </c>
      <c r="CL64" s="90">
        <f>38000000+800000+1300000</f>
        <v>40100000</v>
      </c>
      <c r="CM64" s="38">
        <f t="shared" si="105"/>
        <v>0</v>
      </c>
      <c r="CN64" s="104">
        <f t="shared" si="106"/>
        <v>13487785.200000001</v>
      </c>
      <c r="CO64" s="203">
        <f t="shared" si="107"/>
        <v>0.33635374563591025</v>
      </c>
      <c r="CP64" s="187">
        <f>1000000+10000+10000</f>
        <v>1020000</v>
      </c>
      <c r="CQ64" s="173">
        <v>0</v>
      </c>
      <c r="CR64" s="199">
        <f t="shared" si="108"/>
        <v>0</v>
      </c>
      <c r="CS64" s="203">
        <v>0</v>
      </c>
      <c r="CT64" s="97">
        <v>0</v>
      </c>
      <c r="CU64" s="258">
        <f aca="true" t="shared" si="117" ref="CU64:CU71">+CT64+CJ64</f>
        <v>13487785.200000001</v>
      </c>
      <c r="CV64" s="16" t="s">
        <v>143</v>
      </c>
      <c r="CW64" s="90">
        <f>38000000+800000+1300000</f>
        <v>40100000</v>
      </c>
      <c r="CX64" s="38">
        <f t="shared" si="109"/>
        <v>0</v>
      </c>
      <c r="CY64" s="104">
        <f t="shared" si="110"/>
        <v>13487785.200000001</v>
      </c>
      <c r="CZ64" s="203">
        <f t="shared" si="111"/>
        <v>0.33635374563591025</v>
      </c>
      <c r="DA64" s="187">
        <f>1000000+10000+10000</f>
        <v>1020000</v>
      </c>
      <c r="DB64" s="173">
        <v>0</v>
      </c>
      <c r="DC64" s="199">
        <f t="shared" si="112"/>
        <v>0</v>
      </c>
      <c r="DD64" s="203">
        <v>0</v>
      </c>
      <c r="DE64" s="97">
        <v>0</v>
      </c>
      <c r="DF64" s="258">
        <f aca="true" t="shared" si="118" ref="DF64:DF71">+DE64+CU64</f>
        <v>13487785.200000001</v>
      </c>
      <c r="DG64" s="16" t="s">
        <v>143</v>
      </c>
      <c r="DH64" s="90">
        <f>38000000+800000+1300000</f>
        <v>40100000</v>
      </c>
      <c r="DI64" s="283">
        <f aca="true" t="shared" si="119" ref="DI64:DI70">+DP64-DM64</f>
        <v>0</v>
      </c>
      <c r="DJ64" s="104">
        <f t="shared" si="113"/>
        <v>13487785.200000001</v>
      </c>
      <c r="DK64" s="203">
        <f t="shared" si="114"/>
        <v>0.33635374563591025</v>
      </c>
      <c r="DL64" s="187">
        <f>1000000+10000+10000</f>
        <v>1020000</v>
      </c>
      <c r="DM64" s="173">
        <v>0</v>
      </c>
      <c r="DN64" s="199">
        <f t="shared" si="115"/>
        <v>0</v>
      </c>
      <c r="DO64" s="203">
        <v>0</v>
      </c>
      <c r="DP64" s="97">
        <v>0</v>
      </c>
      <c r="DQ64" s="258">
        <f aca="true" t="shared" si="120" ref="DQ64:DQ71">+DP64+DF64</f>
        <v>13487785.200000001</v>
      </c>
    </row>
    <row r="65" spans="1:121" ht="21">
      <c r="A65" s="16" t="s">
        <v>22</v>
      </c>
      <c r="B65" s="90">
        <v>14598375</v>
      </c>
      <c r="C65" s="38">
        <f t="shared" si="65"/>
        <v>0</v>
      </c>
      <c r="D65" s="104">
        <f t="shared" si="66"/>
        <v>0</v>
      </c>
      <c r="E65" s="203">
        <f t="shared" si="67"/>
        <v>0</v>
      </c>
      <c r="F65" s="187">
        <v>0</v>
      </c>
      <c r="G65" s="173">
        <v>0</v>
      </c>
      <c r="H65" s="199">
        <f t="shared" si="68"/>
        <v>0</v>
      </c>
      <c r="I65" s="203">
        <v>0</v>
      </c>
      <c r="J65" s="97">
        <f>+'[1]งบทดลอง-โปรแกรม61'!$E$366+'[1]งบทดลอง-โปรแกรม61'!$E$367-259241.5</f>
        <v>0</v>
      </c>
      <c r="K65" s="85">
        <f t="shared" si="69"/>
        <v>0</v>
      </c>
      <c r="L65" s="16" t="s">
        <v>22</v>
      </c>
      <c r="M65" s="90">
        <v>14598375</v>
      </c>
      <c r="N65" s="38">
        <f t="shared" si="70"/>
        <v>0</v>
      </c>
      <c r="O65" s="104">
        <f t="shared" si="71"/>
        <v>0</v>
      </c>
      <c r="P65" s="203">
        <f t="shared" si="72"/>
        <v>0</v>
      </c>
      <c r="Q65" s="187">
        <v>0</v>
      </c>
      <c r="R65" s="173">
        <v>0</v>
      </c>
      <c r="S65" s="199">
        <f t="shared" si="73"/>
        <v>0</v>
      </c>
      <c r="T65" s="203">
        <v>0</v>
      </c>
      <c r="U65" s="97">
        <f>+'[1]งบทดลอง-โปรแกรม61'!$E$366+'[1]งบทดลอง-โปรแกรม61'!$E$367-259241.5</f>
        <v>0</v>
      </c>
      <c r="V65" s="85">
        <f t="shared" si="74"/>
        <v>0</v>
      </c>
      <c r="W65" s="16" t="s">
        <v>22</v>
      </c>
      <c r="X65" s="90">
        <v>14598375</v>
      </c>
      <c r="Y65" s="38">
        <f t="shared" si="75"/>
        <v>0</v>
      </c>
      <c r="Z65" s="104">
        <f t="shared" si="76"/>
        <v>0</v>
      </c>
      <c r="AA65" s="203">
        <f t="shared" si="77"/>
        <v>0</v>
      </c>
      <c r="AB65" s="187">
        <v>0</v>
      </c>
      <c r="AC65" s="173">
        <v>0</v>
      </c>
      <c r="AD65" s="199">
        <f t="shared" si="78"/>
        <v>0</v>
      </c>
      <c r="AE65" s="203">
        <v>0</v>
      </c>
      <c r="AF65" s="97">
        <f>+'[1]งบทดลอง-โปรแกรม61'!$E$366+'[1]งบทดลอง-โปรแกรม61'!$E$367-259241.5</f>
        <v>0</v>
      </c>
      <c r="AG65" s="85">
        <f t="shared" si="79"/>
        <v>0</v>
      </c>
      <c r="AH65" s="16" t="s">
        <v>22</v>
      </c>
      <c r="AI65" s="90">
        <v>14598375</v>
      </c>
      <c r="AJ65" s="38">
        <f t="shared" si="80"/>
        <v>477152.1</v>
      </c>
      <c r="AK65" s="104">
        <f t="shared" si="81"/>
        <v>477152.1</v>
      </c>
      <c r="AL65" s="203">
        <f t="shared" si="82"/>
        <v>0.03268528860232731</v>
      </c>
      <c r="AM65" s="187">
        <v>0</v>
      </c>
      <c r="AN65" s="173">
        <v>0</v>
      </c>
      <c r="AO65" s="199">
        <f t="shared" si="83"/>
        <v>0</v>
      </c>
      <c r="AP65" s="203">
        <v>0</v>
      </c>
      <c r="AQ65" s="97">
        <v>477152.1</v>
      </c>
      <c r="AR65" s="85">
        <f t="shared" si="84"/>
        <v>477152.1</v>
      </c>
      <c r="AS65" s="16" t="s">
        <v>22</v>
      </c>
      <c r="AT65" s="90">
        <v>14598375</v>
      </c>
      <c r="AU65" s="38">
        <f t="shared" si="85"/>
        <v>769157.2</v>
      </c>
      <c r="AV65" s="104">
        <f t="shared" si="86"/>
        <v>1246309.2999999998</v>
      </c>
      <c r="AW65" s="203">
        <f t="shared" si="87"/>
        <v>0.08537315283379142</v>
      </c>
      <c r="AX65" s="187">
        <v>0</v>
      </c>
      <c r="AY65" s="173">
        <v>0</v>
      </c>
      <c r="AZ65" s="199">
        <f t="shared" si="88"/>
        <v>0</v>
      </c>
      <c r="BA65" s="203">
        <v>0</v>
      </c>
      <c r="BB65" s="97">
        <v>769157.2</v>
      </c>
      <c r="BC65" s="258">
        <f t="shared" si="89"/>
        <v>1246309.2999999998</v>
      </c>
      <c r="BD65" s="16" t="s">
        <v>22</v>
      </c>
      <c r="BE65" s="90">
        <v>14598375</v>
      </c>
      <c r="BF65" s="38">
        <f t="shared" si="90"/>
        <v>737227.1</v>
      </c>
      <c r="BG65" s="104">
        <f t="shared" si="91"/>
        <v>1983536.4</v>
      </c>
      <c r="BH65" s="203">
        <f t="shared" si="92"/>
        <v>0.13587378047214158</v>
      </c>
      <c r="BI65" s="187">
        <v>0</v>
      </c>
      <c r="BJ65" s="173">
        <v>0</v>
      </c>
      <c r="BK65" s="199">
        <f t="shared" si="93"/>
        <v>0</v>
      </c>
      <c r="BL65" s="203">
        <v>0</v>
      </c>
      <c r="BM65" s="97">
        <v>737227.1</v>
      </c>
      <c r="BN65" s="258">
        <f t="shared" si="94"/>
        <v>1983536.4</v>
      </c>
      <c r="BO65" s="16" t="s">
        <v>22</v>
      </c>
      <c r="BP65" s="90">
        <v>14598375</v>
      </c>
      <c r="BQ65" s="38">
        <f t="shared" si="95"/>
        <v>0</v>
      </c>
      <c r="BR65" s="104">
        <f t="shared" si="96"/>
        <v>1983536.4</v>
      </c>
      <c r="BS65" s="203">
        <f t="shared" si="97"/>
        <v>0.13587378047214158</v>
      </c>
      <c r="BT65" s="187">
        <v>0</v>
      </c>
      <c r="BU65" s="173">
        <v>0</v>
      </c>
      <c r="BV65" s="199">
        <f t="shared" si="98"/>
        <v>0</v>
      </c>
      <c r="BW65" s="203">
        <v>0</v>
      </c>
      <c r="BX65" s="97">
        <v>0</v>
      </c>
      <c r="BY65" s="258">
        <f t="shared" si="99"/>
        <v>1983536.4</v>
      </c>
      <c r="BZ65" s="16" t="s">
        <v>22</v>
      </c>
      <c r="CA65" s="90">
        <v>14598375</v>
      </c>
      <c r="CB65" s="38">
        <f t="shared" si="100"/>
        <v>0</v>
      </c>
      <c r="CC65" s="104">
        <f t="shared" si="101"/>
        <v>1983536.4</v>
      </c>
      <c r="CD65" s="203">
        <f t="shared" si="102"/>
        <v>0.13587378047214158</v>
      </c>
      <c r="CE65" s="187">
        <v>0</v>
      </c>
      <c r="CF65" s="173">
        <v>0</v>
      </c>
      <c r="CG65" s="199">
        <f t="shared" si="103"/>
        <v>0</v>
      </c>
      <c r="CH65" s="203">
        <v>0</v>
      </c>
      <c r="CI65" s="97">
        <v>0</v>
      </c>
      <c r="CJ65" s="258">
        <f t="shared" si="104"/>
        <v>1983536.4</v>
      </c>
      <c r="CK65" s="16" t="s">
        <v>22</v>
      </c>
      <c r="CL65" s="90">
        <v>14598375</v>
      </c>
      <c r="CM65" s="38">
        <f t="shared" si="105"/>
        <v>0</v>
      </c>
      <c r="CN65" s="104">
        <f t="shared" si="106"/>
        <v>1983536.4</v>
      </c>
      <c r="CO65" s="203">
        <f t="shared" si="107"/>
        <v>0.13587378047214158</v>
      </c>
      <c r="CP65" s="187">
        <v>0</v>
      </c>
      <c r="CQ65" s="173">
        <v>0</v>
      </c>
      <c r="CR65" s="199">
        <f t="shared" si="108"/>
        <v>0</v>
      </c>
      <c r="CS65" s="203">
        <v>0</v>
      </c>
      <c r="CT65" s="97">
        <v>0</v>
      </c>
      <c r="CU65" s="258">
        <f t="shared" si="117"/>
        <v>1983536.4</v>
      </c>
      <c r="CV65" s="16" t="s">
        <v>22</v>
      </c>
      <c r="CW65" s="90">
        <v>14598375</v>
      </c>
      <c r="CX65" s="38">
        <f t="shared" si="109"/>
        <v>0</v>
      </c>
      <c r="CY65" s="104">
        <f t="shared" si="110"/>
        <v>1983536.4</v>
      </c>
      <c r="CZ65" s="203">
        <f t="shared" si="111"/>
        <v>0.13587378047214158</v>
      </c>
      <c r="DA65" s="187">
        <v>0</v>
      </c>
      <c r="DB65" s="173">
        <v>0</v>
      </c>
      <c r="DC65" s="199">
        <f t="shared" si="112"/>
        <v>0</v>
      </c>
      <c r="DD65" s="203">
        <v>0</v>
      </c>
      <c r="DE65" s="97">
        <v>0</v>
      </c>
      <c r="DF65" s="258">
        <f t="shared" si="118"/>
        <v>1983536.4</v>
      </c>
      <c r="DG65" s="16" t="s">
        <v>22</v>
      </c>
      <c r="DH65" s="90">
        <v>14598375</v>
      </c>
      <c r="DI65" s="283">
        <f t="shared" si="119"/>
        <v>0</v>
      </c>
      <c r="DJ65" s="104">
        <f t="shared" si="113"/>
        <v>1983536.4</v>
      </c>
      <c r="DK65" s="203">
        <f t="shared" si="114"/>
        <v>0.13587378047214158</v>
      </c>
      <c r="DL65" s="187">
        <v>0</v>
      </c>
      <c r="DM65" s="173">
        <v>0</v>
      </c>
      <c r="DN65" s="199">
        <f t="shared" si="115"/>
        <v>0</v>
      </c>
      <c r="DO65" s="203">
        <v>0</v>
      </c>
      <c r="DP65" s="97">
        <v>0</v>
      </c>
      <c r="DQ65" s="258">
        <f t="shared" si="120"/>
        <v>1983536.4</v>
      </c>
    </row>
    <row r="66" spans="1:121" ht="21">
      <c r="A66" s="16" t="s">
        <v>14</v>
      </c>
      <c r="B66" s="90">
        <v>5000000</v>
      </c>
      <c r="C66" s="38">
        <f t="shared" si="65"/>
        <v>791783.95</v>
      </c>
      <c r="D66" s="104">
        <f t="shared" si="66"/>
        <v>791783.95</v>
      </c>
      <c r="E66" s="203">
        <f t="shared" si="67"/>
        <v>0.15835679</v>
      </c>
      <c r="F66" s="187">
        <v>450740</v>
      </c>
      <c r="G66" s="173">
        <v>0</v>
      </c>
      <c r="H66" s="199">
        <f t="shared" si="68"/>
        <v>0</v>
      </c>
      <c r="I66" s="208">
        <f t="shared" si="116"/>
        <v>0</v>
      </c>
      <c r="J66" s="97">
        <v>791783.95</v>
      </c>
      <c r="K66" s="85">
        <f t="shared" si="69"/>
        <v>791783.95</v>
      </c>
      <c r="L66" s="16" t="s">
        <v>14</v>
      </c>
      <c r="M66" s="90">
        <v>5000000</v>
      </c>
      <c r="N66" s="38">
        <f t="shared" si="70"/>
        <v>0</v>
      </c>
      <c r="O66" s="104">
        <f t="shared" si="71"/>
        <v>791783.95</v>
      </c>
      <c r="P66" s="203">
        <f t="shared" si="72"/>
        <v>0.15835679</v>
      </c>
      <c r="Q66" s="187">
        <v>450740</v>
      </c>
      <c r="R66" s="173">
        <v>0</v>
      </c>
      <c r="S66" s="199">
        <f t="shared" si="73"/>
        <v>0</v>
      </c>
      <c r="T66" s="208">
        <f>+S66/Q66</f>
        <v>0</v>
      </c>
      <c r="U66" s="97">
        <v>0</v>
      </c>
      <c r="V66" s="85">
        <f t="shared" si="74"/>
        <v>791783.95</v>
      </c>
      <c r="W66" s="16" t="s">
        <v>14</v>
      </c>
      <c r="X66" s="90">
        <v>5000000</v>
      </c>
      <c r="Y66" s="38">
        <f t="shared" si="75"/>
        <v>606241.39</v>
      </c>
      <c r="Z66" s="104">
        <f t="shared" si="76"/>
        <v>1398025.3399999999</v>
      </c>
      <c r="AA66" s="203">
        <f t="shared" si="77"/>
        <v>0.27960506799999996</v>
      </c>
      <c r="AB66" s="187">
        <v>450740</v>
      </c>
      <c r="AC66" s="173">
        <v>0</v>
      </c>
      <c r="AD66" s="199">
        <f t="shared" si="78"/>
        <v>0</v>
      </c>
      <c r="AE66" s="208">
        <f>+AD66/AB66</f>
        <v>0</v>
      </c>
      <c r="AF66" s="97">
        <v>606241.39</v>
      </c>
      <c r="AG66" s="85">
        <f t="shared" si="79"/>
        <v>1398025.3399999999</v>
      </c>
      <c r="AH66" s="16" t="s">
        <v>14</v>
      </c>
      <c r="AI66" s="90">
        <v>5000000</v>
      </c>
      <c r="AJ66" s="38">
        <f t="shared" si="80"/>
        <v>747975.33</v>
      </c>
      <c r="AK66" s="104">
        <f t="shared" si="81"/>
        <v>2146000.67</v>
      </c>
      <c r="AL66" s="203">
        <f t="shared" si="82"/>
        <v>0.429200134</v>
      </c>
      <c r="AM66" s="187">
        <v>450740</v>
      </c>
      <c r="AN66" s="173">
        <v>0</v>
      </c>
      <c r="AO66" s="199">
        <f t="shared" si="83"/>
        <v>0</v>
      </c>
      <c r="AP66" s="208">
        <f>+AO66/AM66</f>
        <v>0</v>
      </c>
      <c r="AQ66" s="97">
        <f>782236.73-AQ77</f>
        <v>747975.33</v>
      </c>
      <c r="AR66" s="85">
        <f t="shared" si="84"/>
        <v>2146000.67</v>
      </c>
      <c r="AS66" s="16" t="s">
        <v>14</v>
      </c>
      <c r="AT66" s="90">
        <v>5000000</v>
      </c>
      <c r="AU66" s="38">
        <f t="shared" si="85"/>
        <v>78147.67</v>
      </c>
      <c r="AV66" s="104">
        <f t="shared" si="86"/>
        <v>2224148.34</v>
      </c>
      <c r="AW66" s="203">
        <f t="shared" si="87"/>
        <v>0.44482966799999996</v>
      </c>
      <c r="AX66" s="187">
        <v>450740</v>
      </c>
      <c r="AY66" s="173">
        <v>0</v>
      </c>
      <c r="AZ66" s="199">
        <f t="shared" si="88"/>
        <v>0</v>
      </c>
      <c r="BA66" s="208">
        <f>+AZ66/AX66</f>
        <v>0</v>
      </c>
      <c r="BB66" s="97">
        <v>78147.67</v>
      </c>
      <c r="BC66" s="258">
        <f t="shared" si="89"/>
        <v>2224148.34</v>
      </c>
      <c r="BD66" s="16" t="s">
        <v>14</v>
      </c>
      <c r="BE66" s="90">
        <v>5000000</v>
      </c>
      <c r="BF66" s="38">
        <f t="shared" si="90"/>
        <v>636911.09</v>
      </c>
      <c r="BG66" s="104">
        <f t="shared" si="91"/>
        <v>2861059.4299999997</v>
      </c>
      <c r="BH66" s="203">
        <f t="shared" si="92"/>
        <v>0.572211886</v>
      </c>
      <c r="BI66" s="187">
        <v>450740</v>
      </c>
      <c r="BJ66" s="173">
        <v>0</v>
      </c>
      <c r="BK66" s="199">
        <f t="shared" si="93"/>
        <v>0</v>
      </c>
      <c r="BL66" s="208">
        <f>+BK66/BI66</f>
        <v>0</v>
      </c>
      <c r="BM66" s="97">
        <v>636911.09</v>
      </c>
      <c r="BN66" s="258">
        <f t="shared" si="94"/>
        <v>2861059.4299999997</v>
      </c>
      <c r="BO66" s="16" t="s">
        <v>14</v>
      </c>
      <c r="BP66" s="90">
        <v>5000000</v>
      </c>
      <c r="BQ66" s="38">
        <f t="shared" si="95"/>
        <v>846098.86</v>
      </c>
      <c r="BR66" s="104">
        <f t="shared" si="96"/>
        <v>3707158.2899999996</v>
      </c>
      <c r="BS66" s="203">
        <f t="shared" si="97"/>
        <v>0.7414316579999999</v>
      </c>
      <c r="BT66" s="187">
        <v>450740</v>
      </c>
      <c r="BU66" s="173">
        <v>0</v>
      </c>
      <c r="BV66" s="199">
        <f t="shared" si="98"/>
        <v>0</v>
      </c>
      <c r="BW66" s="208">
        <f>+BV66/BT66</f>
        <v>0</v>
      </c>
      <c r="BX66" s="97">
        <v>846098.86</v>
      </c>
      <c r="BY66" s="258">
        <f t="shared" si="99"/>
        <v>3707158.2899999996</v>
      </c>
      <c r="BZ66" s="16" t="s">
        <v>14</v>
      </c>
      <c r="CA66" s="90">
        <v>5000000</v>
      </c>
      <c r="CB66" s="38">
        <f t="shared" si="100"/>
        <v>867811.26</v>
      </c>
      <c r="CC66" s="104">
        <f t="shared" si="101"/>
        <v>4574969.55</v>
      </c>
      <c r="CD66" s="203">
        <f t="shared" si="102"/>
        <v>0.91499391</v>
      </c>
      <c r="CE66" s="187">
        <v>450740</v>
      </c>
      <c r="CF66" s="173">
        <v>0</v>
      </c>
      <c r="CG66" s="199">
        <f t="shared" si="103"/>
        <v>0</v>
      </c>
      <c r="CH66" s="208">
        <f>+CG66/CE66</f>
        <v>0</v>
      </c>
      <c r="CI66" s="97">
        <v>867811.26</v>
      </c>
      <c r="CJ66" s="258">
        <f t="shared" si="104"/>
        <v>4574969.55</v>
      </c>
      <c r="CK66" s="16" t="s">
        <v>14</v>
      </c>
      <c r="CL66" s="90">
        <v>5000000</v>
      </c>
      <c r="CM66" s="38">
        <f t="shared" si="105"/>
        <v>705038.01</v>
      </c>
      <c r="CN66" s="104">
        <f t="shared" si="106"/>
        <v>5280007.56</v>
      </c>
      <c r="CO66" s="203">
        <f t="shared" si="107"/>
        <v>1.056001512</v>
      </c>
      <c r="CP66" s="187">
        <v>450740</v>
      </c>
      <c r="CQ66" s="173">
        <v>0</v>
      </c>
      <c r="CR66" s="199">
        <f t="shared" si="108"/>
        <v>0</v>
      </c>
      <c r="CS66" s="208">
        <f>+CR66/CP66</f>
        <v>0</v>
      </c>
      <c r="CT66" s="97">
        <v>705038.01</v>
      </c>
      <c r="CU66" s="258">
        <f t="shared" si="117"/>
        <v>5280007.56</v>
      </c>
      <c r="CV66" s="16" t="s">
        <v>14</v>
      </c>
      <c r="CW66" s="90">
        <v>5000000</v>
      </c>
      <c r="CX66" s="38">
        <f t="shared" si="109"/>
        <v>253479.62</v>
      </c>
      <c r="CY66" s="104">
        <f t="shared" si="110"/>
        <v>5533487.18</v>
      </c>
      <c r="CZ66" s="203">
        <f t="shared" si="111"/>
        <v>1.106697436</v>
      </c>
      <c r="DA66" s="187">
        <v>450740</v>
      </c>
      <c r="DB66" s="173">
        <v>0</v>
      </c>
      <c r="DC66" s="199">
        <f t="shared" si="112"/>
        <v>0</v>
      </c>
      <c r="DD66" s="208">
        <f>+DC66/DA66</f>
        <v>0</v>
      </c>
      <c r="DE66" s="97">
        <v>253479.62</v>
      </c>
      <c r="DF66" s="258">
        <f t="shared" si="118"/>
        <v>5533487.18</v>
      </c>
      <c r="DG66" s="16" t="s">
        <v>14</v>
      </c>
      <c r="DH66" s="90">
        <v>5000000</v>
      </c>
      <c r="DI66" s="283">
        <v>794343.08</v>
      </c>
      <c r="DJ66" s="104">
        <f t="shared" si="113"/>
        <v>6327830.26</v>
      </c>
      <c r="DK66" s="203">
        <f t="shared" si="114"/>
        <v>1.265566052</v>
      </c>
      <c r="DL66" s="187">
        <v>450740</v>
      </c>
      <c r="DM66" s="173">
        <v>0</v>
      </c>
      <c r="DN66" s="199">
        <f t="shared" si="115"/>
        <v>0</v>
      </c>
      <c r="DO66" s="208">
        <f>+DN66/DL66</f>
        <v>0</v>
      </c>
      <c r="DP66" s="97">
        <v>794343.08</v>
      </c>
      <c r="DQ66" s="258">
        <f t="shared" si="120"/>
        <v>6327830.26</v>
      </c>
    </row>
    <row r="67" spans="1:121" ht="21">
      <c r="A67" s="16" t="s">
        <v>6</v>
      </c>
      <c r="B67" s="90">
        <v>13639833</v>
      </c>
      <c r="C67" s="38">
        <f t="shared" si="65"/>
        <v>0</v>
      </c>
      <c r="D67" s="104">
        <f t="shared" si="66"/>
        <v>0</v>
      </c>
      <c r="E67" s="203">
        <f t="shared" si="67"/>
        <v>0</v>
      </c>
      <c r="F67" s="187">
        <v>188150</v>
      </c>
      <c r="G67" s="173">
        <v>0</v>
      </c>
      <c r="H67" s="199">
        <f t="shared" si="68"/>
        <v>0</v>
      </c>
      <c r="I67" s="208">
        <f t="shared" si="116"/>
        <v>0</v>
      </c>
      <c r="J67" s="97">
        <v>0</v>
      </c>
      <c r="K67" s="85">
        <f t="shared" si="69"/>
        <v>0</v>
      </c>
      <c r="L67" s="16" t="s">
        <v>6</v>
      </c>
      <c r="M67" s="90">
        <v>13639833</v>
      </c>
      <c r="N67" s="38">
        <f t="shared" si="70"/>
        <v>0</v>
      </c>
      <c r="O67" s="104">
        <f t="shared" si="71"/>
        <v>0</v>
      </c>
      <c r="P67" s="203">
        <f t="shared" si="72"/>
        <v>0</v>
      </c>
      <c r="Q67" s="187">
        <v>188150</v>
      </c>
      <c r="R67" s="173">
        <v>0</v>
      </c>
      <c r="S67" s="199">
        <f t="shared" si="73"/>
        <v>0</v>
      </c>
      <c r="T67" s="208">
        <f>+S67/Q67</f>
        <v>0</v>
      </c>
      <c r="U67" s="97">
        <f>968400-U78</f>
        <v>0</v>
      </c>
      <c r="V67" s="85">
        <f t="shared" si="74"/>
        <v>0</v>
      </c>
      <c r="W67" s="16" t="s">
        <v>6</v>
      </c>
      <c r="X67" s="90">
        <v>13639833</v>
      </c>
      <c r="Y67" s="38">
        <f t="shared" si="75"/>
        <v>0</v>
      </c>
      <c r="Z67" s="104">
        <f t="shared" si="76"/>
        <v>0</v>
      </c>
      <c r="AA67" s="203">
        <f t="shared" si="77"/>
        <v>0</v>
      </c>
      <c r="AB67" s="187">
        <v>188150</v>
      </c>
      <c r="AC67" s="173">
        <v>0</v>
      </c>
      <c r="AD67" s="199">
        <f t="shared" si="78"/>
        <v>0</v>
      </c>
      <c r="AE67" s="208">
        <f>+AD67/AB67</f>
        <v>0</v>
      </c>
      <c r="AF67" s="97">
        <f>486500-AF78</f>
        <v>0</v>
      </c>
      <c r="AG67" s="85">
        <f t="shared" si="79"/>
        <v>0</v>
      </c>
      <c r="AH67" s="16" t="s">
        <v>6</v>
      </c>
      <c r="AI67" s="90">
        <v>13639833</v>
      </c>
      <c r="AJ67" s="38">
        <f t="shared" si="80"/>
        <v>140780.4</v>
      </c>
      <c r="AK67" s="104">
        <f t="shared" si="81"/>
        <v>140780.4</v>
      </c>
      <c r="AL67" s="203">
        <f t="shared" si="82"/>
        <v>0.010321270062470706</v>
      </c>
      <c r="AM67" s="187">
        <v>188150</v>
      </c>
      <c r="AN67" s="173">
        <v>0</v>
      </c>
      <c r="AO67" s="199">
        <f t="shared" si="83"/>
        <v>0</v>
      </c>
      <c r="AP67" s="208">
        <f>+AO67/AM67</f>
        <v>0</v>
      </c>
      <c r="AQ67" s="97">
        <v>140780.4</v>
      </c>
      <c r="AR67" s="85">
        <f t="shared" si="84"/>
        <v>140780.4</v>
      </c>
      <c r="AS67" s="16" t="s">
        <v>6</v>
      </c>
      <c r="AT67" s="90">
        <v>14210993</v>
      </c>
      <c r="AU67" s="38">
        <f t="shared" si="85"/>
        <v>124240</v>
      </c>
      <c r="AV67" s="104">
        <f t="shared" si="86"/>
        <v>265020.4</v>
      </c>
      <c r="AW67" s="203">
        <f t="shared" si="87"/>
        <v>0.01864897125767355</v>
      </c>
      <c r="AX67" s="187">
        <v>188150</v>
      </c>
      <c r="AY67" s="173">
        <v>0</v>
      </c>
      <c r="AZ67" s="199">
        <f t="shared" si="88"/>
        <v>0</v>
      </c>
      <c r="BA67" s="208">
        <f>+AZ67/AX67</f>
        <v>0</v>
      </c>
      <c r="BB67" s="97">
        <v>124240</v>
      </c>
      <c r="BC67" s="258">
        <f t="shared" si="89"/>
        <v>265020.4</v>
      </c>
      <c r="BD67" s="16" t="s">
        <v>6</v>
      </c>
      <c r="BE67" s="90">
        <v>14210993</v>
      </c>
      <c r="BF67" s="38">
        <f t="shared" si="90"/>
        <v>49580</v>
      </c>
      <c r="BG67" s="104">
        <f t="shared" si="91"/>
        <v>314600.4</v>
      </c>
      <c r="BH67" s="203">
        <f t="shared" si="92"/>
        <v>0.022137819644271167</v>
      </c>
      <c r="BI67" s="187">
        <v>188150</v>
      </c>
      <c r="BJ67" s="173">
        <v>0</v>
      </c>
      <c r="BK67" s="199">
        <f t="shared" si="93"/>
        <v>0</v>
      </c>
      <c r="BL67" s="208">
        <f>+BK67/BI67</f>
        <v>0</v>
      </c>
      <c r="BM67" s="97">
        <v>49580</v>
      </c>
      <c r="BN67" s="258">
        <f t="shared" si="94"/>
        <v>314600.4</v>
      </c>
      <c r="BO67" s="16" t="s">
        <v>6</v>
      </c>
      <c r="BP67" s="90">
        <v>14210993</v>
      </c>
      <c r="BQ67" s="38">
        <f t="shared" si="95"/>
        <v>1135800</v>
      </c>
      <c r="BR67" s="104">
        <f t="shared" si="96"/>
        <v>1450400.4</v>
      </c>
      <c r="BS67" s="203">
        <f t="shared" si="97"/>
        <v>0.10206186154619877</v>
      </c>
      <c r="BT67" s="187">
        <v>188150</v>
      </c>
      <c r="BU67" s="173">
        <v>0</v>
      </c>
      <c r="BV67" s="199">
        <f t="shared" si="98"/>
        <v>0</v>
      </c>
      <c r="BW67" s="208">
        <f>+BV67/BT67</f>
        <v>0</v>
      </c>
      <c r="BX67" s="97">
        <v>1135800</v>
      </c>
      <c r="BY67" s="258">
        <f t="shared" si="99"/>
        <v>1450400.4</v>
      </c>
      <c r="BZ67" s="16" t="s">
        <v>6</v>
      </c>
      <c r="CA67" s="90">
        <v>14210993</v>
      </c>
      <c r="CB67" s="38">
        <f t="shared" si="100"/>
        <v>2745955</v>
      </c>
      <c r="CC67" s="104">
        <f t="shared" si="101"/>
        <v>4196355.4</v>
      </c>
      <c r="CD67" s="203">
        <f t="shared" si="102"/>
        <v>0.29528938618152867</v>
      </c>
      <c r="CE67" s="187">
        <v>188150</v>
      </c>
      <c r="CF67" s="173">
        <v>0</v>
      </c>
      <c r="CG67" s="199">
        <f t="shared" si="103"/>
        <v>0</v>
      </c>
      <c r="CH67" s="208">
        <f>+CG67/CE67</f>
        <v>0</v>
      </c>
      <c r="CI67" s="97">
        <v>2745955</v>
      </c>
      <c r="CJ67" s="258">
        <f t="shared" si="104"/>
        <v>4196355.4</v>
      </c>
      <c r="CK67" s="16" t="s">
        <v>6</v>
      </c>
      <c r="CL67" s="90">
        <v>14210993</v>
      </c>
      <c r="CM67" s="38">
        <f t="shared" si="105"/>
        <v>905720</v>
      </c>
      <c r="CN67" s="104">
        <f t="shared" si="106"/>
        <v>5102075.4</v>
      </c>
      <c r="CO67" s="203">
        <f t="shared" si="107"/>
        <v>0.3590231449695317</v>
      </c>
      <c r="CP67" s="187">
        <v>188150</v>
      </c>
      <c r="CQ67" s="173">
        <v>0</v>
      </c>
      <c r="CR67" s="199">
        <f t="shared" si="108"/>
        <v>0</v>
      </c>
      <c r="CS67" s="208">
        <f>+CR67/CP67</f>
        <v>0</v>
      </c>
      <c r="CT67" s="97">
        <v>905720</v>
      </c>
      <c r="CU67" s="258">
        <f t="shared" si="117"/>
        <v>5102075.4</v>
      </c>
      <c r="CV67" s="16" t="s">
        <v>6</v>
      </c>
      <c r="CW67" s="90">
        <v>14210993</v>
      </c>
      <c r="CX67" s="38">
        <f t="shared" si="109"/>
        <v>253631.7</v>
      </c>
      <c r="CY67" s="104">
        <f t="shared" si="110"/>
        <v>5355707.100000001</v>
      </c>
      <c r="CZ67" s="203">
        <f t="shared" si="111"/>
        <v>0.37687071550876144</v>
      </c>
      <c r="DA67" s="187">
        <v>188150</v>
      </c>
      <c r="DB67" s="173">
        <v>0</v>
      </c>
      <c r="DC67" s="199">
        <f t="shared" si="112"/>
        <v>0</v>
      </c>
      <c r="DD67" s="208">
        <f>+DC67/DA67</f>
        <v>0</v>
      </c>
      <c r="DE67" s="97">
        <v>253631.7</v>
      </c>
      <c r="DF67" s="258">
        <f t="shared" si="118"/>
        <v>5355707.100000001</v>
      </c>
      <c r="DG67" s="16" t="s">
        <v>6</v>
      </c>
      <c r="DH67" s="90">
        <v>14210993</v>
      </c>
      <c r="DI67" s="283">
        <v>998811</v>
      </c>
      <c r="DJ67" s="104">
        <f t="shared" si="113"/>
        <v>6354518.100000001</v>
      </c>
      <c r="DK67" s="203">
        <f t="shared" si="114"/>
        <v>0.447155107317272</v>
      </c>
      <c r="DL67" s="187">
        <v>188150</v>
      </c>
      <c r="DM67" s="173">
        <v>0</v>
      </c>
      <c r="DN67" s="199">
        <f t="shared" si="115"/>
        <v>0</v>
      </c>
      <c r="DO67" s="208">
        <f>+DN67/DL67</f>
        <v>0</v>
      </c>
      <c r="DP67" s="97">
        <v>998811</v>
      </c>
      <c r="DQ67" s="258">
        <f t="shared" si="120"/>
        <v>6354518.100000001</v>
      </c>
    </row>
    <row r="68" spans="1:121" ht="21">
      <c r="A68" s="16" t="s">
        <v>15</v>
      </c>
      <c r="B68" s="90">
        <v>2740535</v>
      </c>
      <c r="C68" s="38">
        <f t="shared" si="65"/>
        <v>0</v>
      </c>
      <c r="D68" s="104">
        <f t="shared" si="66"/>
        <v>0</v>
      </c>
      <c r="E68" s="203">
        <f>+D68/B68</f>
        <v>0</v>
      </c>
      <c r="F68" s="187">
        <v>0</v>
      </c>
      <c r="G68" s="173">
        <v>0</v>
      </c>
      <c r="H68" s="199">
        <f t="shared" si="68"/>
        <v>0</v>
      </c>
      <c r="I68" s="203">
        <v>0</v>
      </c>
      <c r="J68" s="97">
        <v>0</v>
      </c>
      <c r="K68" s="85">
        <f t="shared" si="69"/>
        <v>0</v>
      </c>
      <c r="L68" s="16" t="s">
        <v>15</v>
      </c>
      <c r="M68" s="90">
        <v>2740535</v>
      </c>
      <c r="N68" s="38">
        <f t="shared" si="70"/>
        <v>0</v>
      </c>
      <c r="O68" s="104">
        <f t="shared" si="71"/>
        <v>0</v>
      </c>
      <c r="P68" s="203">
        <f t="shared" si="72"/>
        <v>0</v>
      </c>
      <c r="Q68" s="187">
        <v>0</v>
      </c>
      <c r="R68" s="173">
        <v>0</v>
      </c>
      <c r="S68" s="199">
        <f t="shared" si="73"/>
        <v>0</v>
      </c>
      <c r="T68" s="203">
        <v>0</v>
      </c>
      <c r="U68" s="97">
        <f>1305400-U79</f>
        <v>0</v>
      </c>
      <c r="V68" s="85">
        <f t="shared" si="74"/>
        <v>0</v>
      </c>
      <c r="W68" s="16" t="s">
        <v>15</v>
      </c>
      <c r="X68" s="90">
        <v>2740535</v>
      </c>
      <c r="Y68" s="38">
        <f t="shared" si="75"/>
        <v>0</v>
      </c>
      <c r="Z68" s="104">
        <f t="shared" si="76"/>
        <v>0</v>
      </c>
      <c r="AA68" s="203">
        <f t="shared" si="77"/>
        <v>0</v>
      </c>
      <c r="AB68" s="187">
        <v>0</v>
      </c>
      <c r="AC68" s="173">
        <v>0</v>
      </c>
      <c r="AD68" s="199">
        <f t="shared" si="78"/>
        <v>0</v>
      </c>
      <c r="AE68" s="203">
        <v>0</v>
      </c>
      <c r="AF68" s="97">
        <f>490000-AF79</f>
        <v>0</v>
      </c>
      <c r="AG68" s="85">
        <f t="shared" si="79"/>
        <v>0</v>
      </c>
      <c r="AH68" s="16" t="s">
        <v>15</v>
      </c>
      <c r="AI68" s="90">
        <v>2740535</v>
      </c>
      <c r="AJ68" s="38">
        <f t="shared" si="80"/>
        <v>0</v>
      </c>
      <c r="AK68" s="104">
        <f t="shared" si="81"/>
        <v>0</v>
      </c>
      <c r="AL68" s="203">
        <f t="shared" si="82"/>
        <v>0</v>
      </c>
      <c r="AM68" s="187">
        <v>0</v>
      </c>
      <c r="AN68" s="173">
        <v>0</v>
      </c>
      <c r="AO68" s="199">
        <f t="shared" si="83"/>
        <v>0</v>
      </c>
      <c r="AP68" s="203">
        <v>0</v>
      </c>
      <c r="AQ68" s="97">
        <v>0</v>
      </c>
      <c r="AR68" s="85">
        <f t="shared" si="84"/>
        <v>0</v>
      </c>
      <c r="AS68" s="16" t="s">
        <v>15</v>
      </c>
      <c r="AT68" s="90">
        <v>18072535</v>
      </c>
      <c r="AU68" s="38">
        <f t="shared" si="85"/>
        <v>0</v>
      </c>
      <c r="AV68" s="104">
        <f t="shared" si="86"/>
        <v>0</v>
      </c>
      <c r="AW68" s="203">
        <f t="shared" si="87"/>
        <v>0</v>
      </c>
      <c r="AX68" s="187">
        <v>0</v>
      </c>
      <c r="AY68" s="173">
        <v>0</v>
      </c>
      <c r="AZ68" s="199">
        <f t="shared" si="88"/>
        <v>0</v>
      </c>
      <c r="BA68" s="203">
        <v>0</v>
      </c>
      <c r="BB68" s="97">
        <v>0</v>
      </c>
      <c r="BC68" s="258">
        <f t="shared" si="89"/>
        <v>0</v>
      </c>
      <c r="BD68" s="16" t="s">
        <v>15</v>
      </c>
      <c r="BE68" s="90">
        <v>18072535</v>
      </c>
      <c r="BF68" s="38">
        <f t="shared" si="90"/>
        <v>0</v>
      </c>
      <c r="BG68" s="104">
        <f t="shared" si="91"/>
        <v>0</v>
      </c>
      <c r="BH68" s="203">
        <f t="shared" si="92"/>
        <v>0</v>
      </c>
      <c r="BI68" s="187">
        <v>0</v>
      </c>
      <c r="BJ68" s="173">
        <v>0</v>
      </c>
      <c r="BK68" s="199">
        <f t="shared" si="93"/>
        <v>0</v>
      </c>
      <c r="BL68" s="203">
        <v>0</v>
      </c>
      <c r="BM68" s="97">
        <v>0</v>
      </c>
      <c r="BN68" s="258">
        <f t="shared" si="94"/>
        <v>0</v>
      </c>
      <c r="BO68" s="16" t="s">
        <v>15</v>
      </c>
      <c r="BP68" s="90">
        <v>18072535</v>
      </c>
      <c r="BQ68" s="38">
        <f t="shared" si="95"/>
        <v>2350500</v>
      </c>
      <c r="BR68" s="104">
        <f t="shared" si="96"/>
        <v>2350500</v>
      </c>
      <c r="BS68" s="203">
        <f t="shared" si="97"/>
        <v>0.13005923076093087</v>
      </c>
      <c r="BT68" s="187">
        <v>0</v>
      </c>
      <c r="BU68" s="173">
        <v>0</v>
      </c>
      <c r="BV68" s="199">
        <f t="shared" si="98"/>
        <v>0</v>
      </c>
      <c r="BW68" s="203">
        <v>0</v>
      </c>
      <c r="BX68" s="97">
        <v>2350500</v>
      </c>
      <c r="BY68" s="258">
        <f t="shared" si="99"/>
        <v>2350500</v>
      </c>
      <c r="BZ68" s="16" t="s">
        <v>15</v>
      </c>
      <c r="CA68" s="90">
        <v>18072535</v>
      </c>
      <c r="CB68" s="38">
        <f t="shared" si="100"/>
        <v>0</v>
      </c>
      <c r="CC68" s="104">
        <f t="shared" si="101"/>
        <v>2350500</v>
      </c>
      <c r="CD68" s="203">
        <f t="shared" si="102"/>
        <v>0.13005923076093087</v>
      </c>
      <c r="CE68" s="187">
        <v>0</v>
      </c>
      <c r="CF68" s="173">
        <v>0</v>
      </c>
      <c r="CG68" s="199">
        <f t="shared" si="103"/>
        <v>0</v>
      </c>
      <c r="CH68" s="203">
        <v>0</v>
      </c>
      <c r="CI68" s="97">
        <v>0</v>
      </c>
      <c r="CJ68" s="258">
        <f t="shared" si="104"/>
        <v>2350500</v>
      </c>
      <c r="CK68" s="16" t="s">
        <v>15</v>
      </c>
      <c r="CL68" s="90">
        <v>18072535</v>
      </c>
      <c r="CM68" s="38">
        <f t="shared" si="105"/>
        <v>0</v>
      </c>
      <c r="CN68" s="104">
        <f t="shared" si="106"/>
        <v>2350500</v>
      </c>
      <c r="CO68" s="203">
        <f t="shared" si="107"/>
        <v>0.13005923076093087</v>
      </c>
      <c r="CP68" s="187">
        <v>0</v>
      </c>
      <c r="CQ68" s="173">
        <v>0</v>
      </c>
      <c r="CR68" s="199">
        <f t="shared" si="108"/>
        <v>0</v>
      </c>
      <c r="CS68" s="203">
        <v>0</v>
      </c>
      <c r="CT68" s="97">
        <v>0</v>
      </c>
      <c r="CU68" s="258">
        <f t="shared" si="117"/>
        <v>2350500</v>
      </c>
      <c r="CV68" s="16" t="s">
        <v>15</v>
      </c>
      <c r="CW68" s="90">
        <v>18072535</v>
      </c>
      <c r="CX68" s="38">
        <f t="shared" si="109"/>
        <v>574000</v>
      </c>
      <c r="CY68" s="104">
        <f t="shared" si="110"/>
        <v>2924500</v>
      </c>
      <c r="CZ68" s="203">
        <f t="shared" si="111"/>
        <v>0.16182013204013715</v>
      </c>
      <c r="DA68" s="187">
        <v>0</v>
      </c>
      <c r="DB68" s="173">
        <v>0</v>
      </c>
      <c r="DC68" s="199">
        <f t="shared" si="112"/>
        <v>0</v>
      </c>
      <c r="DD68" s="203">
        <v>0</v>
      </c>
      <c r="DE68" s="97">
        <v>574000</v>
      </c>
      <c r="DF68" s="258">
        <f t="shared" si="118"/>
        <v>2924500</v>
      </c>
      <c r="DG68" s="16" t="s">
        <v>15</v>
      </c>
      <c r="DH68" s="90">
        <v>18072535</v>
      </c>
      <c r="DI68" s="283">
        <v>294400</v>
      </c>
      <c r="DJ68" s="104">
        <f t="shared" si="113"/>
        <v>3218900</v>
      </c>
      <c r="DK68" s="203">
        <f t="shared" si="114"/>
        <v>0.17811004377637116</v>
      </c>
      <c r="DL68" s="187">
        <v>0</v>
      </c>
      <c r="DM68" s="173">
        <v>0</v>
      </c>
      <c r="DN68" s="199">
        <f t="shared" si="115"/>
        <v>0</v>
      </c>
      <c r="DO68" s="203">
        <v>0</v>
      </c>
      <c r="DP68" s="97">
        <v>294400</v>
      </c>
      <c r="DQ68" s="258">
        <f>+DP68+DF68</f>
        <v>3218900</v>
      </c>
    </row>
    <row r="69" spans="1:121" ht="21">
      <c r="A69" s="16" t="s">
        <v>16</v>
      </c>
      <c r="B69" s="90">
        <v>0</v>
      </c>
      <c r="C69" s="38">
        <f t="shared" si="65"/>
        <v>0</v>
      </c>
      <c r="D69" s="104">
        <f t="shared" si="66"/>
        <v>0</v>
      </c>
      <c r="E69" s="203">
        <v>0</v>
      </c>
      <c r="F69" s="187">
        <v>0</v>
      </c>
      <c r="G69" s="173">
        <v>0</v>
      </c>
      <c r="H69" s="199">
        <f t="shared" si="68"/>
        <v>0</v>
      </c>
      <c r="I69" s="203">
        <v>0</v>
      </c>
      <c r="J69" s="97">
        <v>0</v>
      </c>
      <c r="K69" s="85">
        <f t="shared" si="69"/>
        <v>0</v>
      </c>
      <c r="L69" s="16" t="s">
        <v>16</v>
      </c>
      <c r="M69" s="90">
        <v>0</v>
      </c>
      <c r="N69" s="38">
        <f t="shared" si="70"/>
        <v>0</v>
      </c>
      <c r="O69" s="104">
        <f t="shared" si="71"/>
        <v>0</v>
      </c>
      <c r="P69" s="203">
        <v>0</v>
      </c>
      <c r="Q69" s="187">
        <v>0</v>
      </c>
      <c r="R69" s="173">
        <v>0</v>
      </c>
      <c r="S69" s="199">
        <f t="shared" si="73"/>
        <v>0</v>
      </c>
      <c r="T69" s="203">
        <v>0</v>
      </c>
      <c r="U69" s="97">
        <v>0</v>
      </c>
      <c r="V69" s="85">
        <f t="shared" si="74"/>
        <v>0</v>
      </c>
      <c r="W69" s="16" t="s">
        <v>16</v>
      </c>
      <c r="X69" s="90">
        <v>0</v>
      </c>
      <c r="Y69" s="38">
        <f t="shared" si="75"/>
        <v>0</v>
      </c>
      <c r="Z69" s="104">
        <f t="shared" si="76"/>
        <v>0</v>
      </c>
      <c r="AA69" s="203">
        <v>0</v>
      </c>
      <c r="AB69" s="187">
        <v>0</v>
      </c>
      <c r="AC69" s="173">
        <v>0</v>
      </c>
      <c r="AD69" s="199">
        <f t="shared" si="78"/>
        <v>0</v>
      </c>
      <c r="AE69" s="203">
        <v>0</v>
      </c>
      <c r="AF69" s="97">
        <v>0</v>
      </c>
      <c r="AG69" s="85">
        <f t="shared" si="79"/>
        <v>0</v>
      </c>
      <c r="AH69" s="16" t="s">
        <v>16</v>
      </c>
      <c r="AI69" s="90">
        <v>0</v>
      </c>
      <c r="AJ69" s="38">
        <f t="shared" si="80"/>
        <v>0</v>
      </c>
      <c r="AK69" s="104">
        <f t="shared" si="81"/>
        <v>0</v>
      </c>
      <c r="AL69" s="203">
        <v>0</v>
      </c>
      <c r="AM69" s="187">
        <v>0</v>
      </c>
      <c r="AN69" s="173">
        <v>0</v>
      </c>
      <c r="AO69" s="199">
        <f t="shared" si="83"/>
        <v>0</v>
      </c>
      <c r="AP69" s="203">
        <v>0</v>
      </c>
      <c r="AQ69" s="97">
        <v>0</v>
      </c>
      <c r="AR69" s="85">
        <f t="shared" si="84"/>
        <v>0</v>
      </c>
      <c r="AS69" s="16" t="s">
        <v>16</v>
      </c>
      <c r="AT69" s="90">
        <v>0</v>
      </c>
      <c r="AU69" s="38">
        <f t="shared" si="85"/>
        <v>0</v>
      </c>
      <c r="AV69" s="104">
        <f t="shared" si="86"/>
        <v>0</v>
      </c>
      <c r="AW69" s="203">
        <v>0</v>
      </c>
      <c r="AX69" s="187">
        <v>0</v>
      </c>
      <c r="AY69" s="173">
        <v>0</v>
      </c>
      <c r="AZ69" s="199">
        <f t="shared" si="88"/>
        <v>0</v>
      </c>
      <c r="BA69" s="203">
        <v>0</v>
      </c>
      <c r="BB69" s="97">
        <v>0</v>
      </c>
      <c r="BC69" s="258">
        <f t="shared" si="89"/>
        <v>0</v>
      </c>
      <c r="BD69" s="16" t="s">
        <v>16</v>
      </c>
      <c r="BE69" s="90">
        <v>0</v>
      </c>
      <c r="BF69" s="38">
        <f t="shared" si="90"/>
        <v>0</v>
      </c>
      <c r="BG69" s="104">
        <f t="shared" si="91"/>
        <v>0</v>
      </c>
      <c r="BH69" s="203">
        <v>0</v>
      </c>
      <c r="BI69" s="187">
        <v>0</v>
      </c>
      <c r="BJ69" s="173">
        <v>0</v>
      </c>
      <c r="BK69" s="199">
        <f t="shared" si="93"/>
        <v>0</v>
      </c>
      <c r="BL69" s="203">
        <v>0</v>
      </c>
      <c r="BM69" s="97">
        <v>0</v>
      </c>
      <c r="BN69" s="258">
        <f t="shared" si="94"/>
        <v>0</v>
      </c>
      <c r="BO69" s="16" t="s">
        <v>16</v>
      </c>
      <c r="BP69" s="90">
        <v>0</v>
      </c>
      <c r="BQ69" s="38">
        <f t="shared" si="95"/>
        <v>0</v>
      </c>
      <c r="BR69" s="104">
        <f t="shared" si="96"/>
        <v>0</v>
      </c>
      <c r="BS69" s="203">
        <v>0</v>
      </c>
      <c r="BT69" s="187">
        <v>0</v>
      </c>
      <c r="BU69" s="173">
        <v>0</v>
      </c>
      <c r="BV69" s="199">
        <f t="shared" si="98"/>
        <v>0</v>
      </c>
      <c r="BW69" s="203">
        <v>0</v>
      </c>
      <c r="BX69" s="97">
        <v>0</v>
      </c>
      <c r="BY69" s="258">
        <f t="shared" si="99"/>
        <v>0</v>
      </c>
      <c r="BZ69" s="16" t="s">
        <v>16</v>
      </c>
      <c r="CA69" s="90">
        <v>0</v>
      </c>
      <c r="CB69" s="38">
        <f t="shared" si="100"/>
        <v>0</v>
      </c>
      <c r="CC69" s="104">
        <f t="shared" si="101"/>
        <v>0</v>
      </c>
      <c r="CD69" s="203">
        <v>0</v>
      </c>
      <c r="CE69" s="187">
        <v>0</v>
      </c>
      <c r="CF69" s="173">
        <v>0</v>
      </c>
      <c r="CG69" s="199">
        <f t="shared" si="103"/>
        <v>0</v>
      </c>
      <c r="CH69" s="203">
        <v>0</v>
      </c>
      <c r="CI69" s="97">
        <v>0</v>
      </c>
      <c r="CJ69" s="258">
        <f t="shared" si="104"/>
        <v>0</v>
      </c>
      <c r="CK69" s="16" t="s">
        <v>16</v>
      </c>
      <c r="CL69" s="90">
        <v>0</v>
      </c>
      <c r="CM69" s="38">
        <f t="shared" si="105"/>
        <v>0</v>
      </c>
      <c r="CN69" s="104">
        <f t="shared" si="106"/>
        <v>0</v>
      </c>
      <c r="CO69" s="203">
        <v>0</v>
      </c>
      <c r="CP69" s="187">
        <v>0</v>
      </c>
      <c r="CQ69" s="173">
        <v>0</v>
      </c>
      <c r="CR69" s="199">
        <f t="shared" si="108"/>
        <v>0</v>
      </c>
      <c r="CS69" s="203">
        <v>0</v>
      </c>
      <c r="CT69" s="97">
        <v>0</v>
      </c>
      <c r="CU69" s="258">
        <f t="shared" si="117"/>
        <v>0</v>
      </c>
      <c r="CV69" s="16" t="s">
        <v>16</v>
      </c>
      <c r="CW69" s="90">
        <v>0</v>
      </c>
      <c r="CX69" s="38">
        <f t="shared" si="109"/>
        <v>0</v>
      </c>
      <c r="CY69" s="104">
        <f t="shared" si="110"/>
        <v>0</v>
      </c>
      <c r="CZ69" s="203">
        <v>0</v>
      </c>
      <c r="DA69" s="187">
        <v>0</v>
      </c>
      <c r="DB69" s="173">
        <v>0</v>
      </c>
      <c r="DC69" s="199">
        <f t="shared" si="112"/>
        <v>0</v>
      </c>
      <c r="DD69" s="203">
        <v>0</v>
      </c>
      <c r="DE69" s="97">
        <v>0</v>
      </c>
      <c r="DF69" s="258">
        <f t="shared" si="118"/>
        <v>0</v>
      </c>
      <c r="DG69" s="16" t="s">
        <v>16</v>
      </c>
      <c r="DH69" s="90">
        <v>0</v>
      </c>
      <c r="DI69" s="283">
        <f t="shared" si="119"/>
        <v>0</v>
      </c>
      <c r="DJ69" s="104">
        <f t="shared" si="113"/>
        <v>0</v>
      </c>
      <c r="DK69" s="203">
        <v>0</v>
      </c>
      <c r="DL69" s="187">
        <v>0</v>
      </c>
      <c r="DM69" s="173">
        <v>0</v>
      </c>
      <c r="DN69" s="199">
        <f t="shared" si="115"/>
        <v>0</v>
      </c>
      <c r="DO69" s="203">
        <v>0</v>
      </c>
      <c r="DP69" s="97">
        <v>0</v>
      </c>
      <c r="DQ69" s="258">
        <f t="shared" si="120"/>
        <v>0</v>
      </c>
    </row>
    <row r="70" spans="1:121" ht="21">
      <c r="A70" s="16" t="s">
        <v>21</v>
      </c>
      <c r="B70" s="90">
        <v>7000000</v>
      </c>
      <c r="C70" s="38">
        <f t="shared" si="65"/>
        <v>0</v>
      </c>
      <c r="D70" s="104">
        <f t="shared" si="66"/>
        <v>0</v>
      </c>
      <c r="E70" s="203">
        <v>0</v>
      </c>
      <c r="F70" s="187">
        <v>300000</v>
      </c>
      <c r="G70" s="173">
        <v>0</v>
      </c>
      <c r="H70" s="199">
        <f t="shared" si="68"/>
        <v>0</v>
      </c>
      <c r="I70" s="208">
        <f t="shared" si="116"/>
        <v>0</v>
      </c>
      <c r="J70" s="97">
        <v>0</v>
      </c>
      <c r="K70" s="85">
        <f t="shared" si="69"/>
        <v>0</v>
      </c>
      <c r="L70" s="16" t="s">
        <v>21</v>
      </c>
      <c r="M70" s="90">
        <v>7000000</v>
      </c>
      <c r="N70" s="38">
        <f t="shared" si="70"/>
        <v>0</v>
      </c>
      <c r="O70" s="104">
        <f t="shared" si="71"/>
        <v>0</v>
      </c>
      <c r="P70" s="203">
        <v>0</v>
      </c>
      <c r="Q70" s="187">
        <v>300000</v>
      </c>
      <c r="R70" s="173">
        <v>0</v>
      </c>
      <c r="S70" s="199">
        <f t="shared" si="73"/>
        <v>0</v>
      </c>
      <c r="T70" s="208">
        <f>+S70/Q70</f>
        <v>0</v>
      </c>
      <c r="U70" s="97">
        <v>0</v>
      </c>
      <c r="V70" s="85">
        <f t="shared" si="74"/>
        <v>0</v>
      </c>
      <c r="W70" s="16" t="s">
        <v>21</v>
      </c>
      <c r="X70" s="90">
        <v>7000000</v>
      </c>
      <c r="Y70" s="38">
        <f t="shared" si="75"/>
        <v>0</v>
      </c>
      <c r="Z70" s="104">
        <f t="shared" si="76"/>
        <v>0</v>
      </c>
      <c r="AA70" s="203">
        <v>0</v>
      </c>
      <c r="AB70" s="187">
        <v>300000</v>
      </c>
      <c r="AC70" s="173">
        <v>0</v>
      </c>
      <c r="AD70" s="199">
        <f t="shared" si="78"/>
        <v>0</v>
      </c>
      <c r="AE70" s="208">
        <f>+AD70/AB70</f>
        <v>0</v>
      </c>
      <c r="AF70" s="97">
        <v>0</v>
      </c>
      <c r="AG70" s="85">
        <f t="shared" si="79"/>
        <v>0</v>
      </c>
      <c r="AH70" s="16" t="s">
        <v>21</v>
      </c>
      <c r="AI70" s="90">
        <v>7000000</v>
      </c>
      <c r="AJ70" s="38">
        <f t="shared" si="80"/>
        <v>0</v>
      </c>
      <c r="AK70" s="104">
        <f t="shared" si="81"/>
        <v>0</v>
      </c>
      <c r="AL70" s="203">
        <v>0</v>
      </c>
      <c r="AM70" s="187">
        <v>300000</v>
      </c>
      <c r="AN70" s="173">
        <v>0</v>
      </c>
      <c r="AO70" s="199">
        <f t="shared" si="83"/>
        <v>0</v>
      </c>
      <c r="AP70" s="208">
        <f>+AO70/AM70</f>
        <v>0</v>
      </c>
      <c r="AQ70" s="97">
        <v>0</v>
      </c>
      <c r="AR70" s="85">
        <f t="shared" si="84"/>
        <v>0</v>
      </c>
      <c r="AS70" s="16" t="s">
        <v>21</v>
      </c>
      <c r="AT70" s="90">
        <v>7000000</v>
      </c>
      <c r="AU70" s="38">
        <f t="shared" si="85"/>
        <v>0</v>
      </c>
      <c r="AV70" s="104">
        <f t="shared" si="86"/>
        <v>0</v>
      </c>
      <c r="AW70" s="203">
        <v>0</v>
      </c>
      <c r="AX70" s="187">
        <v>300000</v>
      </c>
      <c r="AY70" s="173">
        <v>0</v>
      </c>
      <c r="AZ70" s="199">
        <f t="shared" si="88"/>
        <v>0</v>
      </c>
      <c r="BA70" s="208">
        <f>+AZ70/AX70</f>
        <v>0</v>
      </c>
      <c r="BB70" s="97">
        <v>0</v>
      </c>
      <c r="BC70" s="258">
        <f t="shared" si="89"/>
        <v>0</v>
      </c>
      <c r="BD70" s="16" t="s">
        <v>21</v>
      </c>
      <c r="BE70" s="90">
        <v>7000000</v>
      </c>
      <c r="BF70" s="38">
        <f t="shared" si="90"/>
        <v>0</v>
      </c>
      <c r="BG70" s="104">
        <f t="shared" si="91"/>
        <v>0</v>
      </c>
      <c r="BH70" s="203">
        <v>0</v>
      </c>
      <c r="BI70" s="187">
        <v>300000</v>
      </c>
      <c r="BJ70" s="173">
        <v>0</v>
      </c>
      <c r="BK70" s="199">
        <f t="shared" si="93"/>
        <v>0</v>
      </c>
      <c r="BL70" s="208">
        <f>+BK70/BI70</f>
        <v>0</v>
      </c>
      <c r="BM70" s="97">
        <v>0</v>
      </c>
      <c r="BN70" s="258">
        <f t="shared" si="94"/>
        <v>0</v>
      </c>
      <c r="BO70" s="16" t="s">
        <v>21</v>
      </c>
      <c r="BP70" s="90">
        <v>7000000</v>
      </c>
      <c r="BQ70" s="38">
        <f t="shared" si="95"/>
        <v>0</v>
      </c>
      <c r="BR70" s="104">
        <f t="shared" si="96"/>
        <v>0</v>
      </c>
      <c r="BS70" s="203">
        <v>0</v>
      </c>
      <c r="BT70" s="187">
        <v>300000</v>
      </c>
      <c r="BU70" s="173">
        <v>0</v>
      </c>
      <c r="BV70" s="199">
        <f t="shared" si="98"/>
        <v>0</v>
      </c>
      <c r="BW70" s="208">
        <f>+BV70/BT70</f>
        <v>0</v>
      </c>
      <c r="BX70" s="97">
        <v>0</v>
      </c>
      <c r="BY70" s="258">
        <f t="shared" si="99"/>
        <v>0</v>
      </c>
      <c r="BZ70" s="16" t="s">
        <v>21</v>
      </c>
      <c r="CA70" s="90">
        <v>7000000</v>
      </c>
      <c r="CB70" s="38">
        <f t="shared" si="100"/>
        <v>0</v>
      </c>
      <c r="CC70" s="104">
        <f t="shared" si="101"/>
        <v>0</v>
      </c>
      <c r="CD70" s="203">
        <v>0</v>
      </c>
      <c r="CE70" s="187">
        <v>300000</v>
      </c>
      <c r="CF70" s="173">
        <v>0</v>
      </c>
      <c r="CG70" s="199">
        <f t="shared" si="103"/>
        <v>0</v>
      </c>
      <c r="CH70" s="208">
        <f>+CG70/CE70</f>
        <v>0</v>
      </c>
      <c r="CI70" s="97">
        <v>0</v>
      </c>
      <c r="CJ70" s="258">
        <f t="shared" si="104"/>
        <v>0</v>
      </c>
      <c r="CK70" s="16" t="s">
        <v>21</v>
      </c>
      <c r="CL70" s="90">
        <v>7000000</v>
      </c>
      <c r="CM70" s="38">
        <f t="shared" si="105"/>
        <v>0</v>
      </c>
      <c r="CN70" s="104">
        <f t="shared" si="106"/>
        <v>0</v>
      </c>
      <c r="CO70" s="203">
        <v>0</v>
      </c>
      <c r="CP70" s="187">
        <v>300000</v>
      </c>
      <c r="CQ70" s="173">
        <v>0</v>
      </c>
      <c r="CR70" s="199">
        <f t="shared" si="108"/>
        <v>0</v>
      </c>
      <c r="CS70" s="208">
        <f>+CR70/CP70</f>
        <v>0</v>
      </c>
      <c r="CT70" s="97">
        <v>0</v>
      </c>
      <c r="CU70" s="258">
        <f t="shared" si="117"/>
        <v>0</v>
      </c>
      <c r="CV70" s="16" t="s">
        <v>21</v>
      </c>
      <c r="CW70" s="90">
        <v>7000000</v>
      </c>
      <c r="CX70" s="38">
        <f t="shared" si="109"/>
        <v>0</v>
      </c>
      <c r="CY70" s="104">
        <f t="shared" si="110"/>
        <v>0</v>
      </c>
      <c r="CZ70" s="203">
        <v>0</v>
      </c>
      <c r="DA70" s="187">
        <v>300000</v>
      </c>
      <c r="DB70" s="173">
        <v>0</v>
      </c>
      <c r="DC70" s="199">
        <f t="shared" si="112"/>
        <v>0</v>
      </c>
      <c r="DD70" s="208">
        <f>+DC70/DA70</f>
        <v>0</v>
      </c>
      <c r="DE70" s="97">
        <v>0</v>
      </c>
      <c r="DF70" s="258">
        <f t="shared" si="118"/>
        <v>0</v>
      </c>
      <c r="DG70" s="16" t="s">
        <v>21</v>
      </c>
      <c r="DH70" s="90">
        <v>7000000</v>
      </c>
      <c r="DI70" s="283">
        <f t="shared" si="119"/>
        <v>0</v>
      </c>
      <c r="DJ70" s="104">
        <f t="shared" si="113"/>
        <v>0</v>
      </c>
      <c r="DK70" s="203">
        <v>0</v>
      </c>
      <c r="DL70" s="187">
        <v>300000</v>
      </c>
      <c r="DM70" s="173">
        <v>0</v>
      </c>
      <c r="DN70" s="199">
        <f t="shared" si="115"/>
        <v>0</v>
      </c>
      <c r="DO70" s="208">
        <f>+DN70/DL70</f>
        <v>0</v>
      </c>
      <c r="DP70" s="97">
        <v>0</v>
      </c>
      <c r="DQ70" s="258">
        <f t="shared" si="120"/>
        <v>0</v>
      </c>
    </row>
    <row r="71" spans="1:121" ht="21">
      <c r="A71" s="225" t="s">
        <v>17</v>
      </c>
      <c r="B71" s="91">
        <v>0</v>
      </c>
      <c r="C71" s="38">
        <f t="shared" si="65"/>
        <v>0</v>
      </c>
      <c r="D71" s="104">
        <f t="shared" si="66"/>
        <v>0</v>
      </c>
      <c r="E71" s="226">
        <v>0</v>
      </c>
      <c r="F71" s="189">
        <v>0</v>
      </c>
      <c r="G71" s="176">
        <v>0</v>
      </c>
      <c r="H71" s="199">
        <f t="shared" si="68"/>
        <v>0</v>
      </c>
      <c r="I71" s="203">
        <v>0</v>
      </c>
      <c r="J71" s="98">
        <v>0</v>
      </c>
      <c r="K71" s="85">
        <f t="shared" si="69"/>
        <v>0</v>
      </c>
      <c r="L71" s="225" t="s">
        <v>17</v>
      </c>
      <c r="M71" s="91">
        <v>0</v>
      </c>
      <c r="N71" s="38">
        <f t="shared" si="70"/>
        <v>0</v>
      </c>
      <c r="O71" s="104">
        <f t="shared" si="71"/>
        <v>0</v>
      </c>
      <c r="P71" s="226">
        <v>0</v>
      </c>
      <c r="Q71" s="189">
        <v>0</v>
      </c>
      <c r="R71" s="176">
        <v>0</v>
      </c>
      <c r="S71" s="199">
        <f t="shared" si="73"/>
        <v>0</v>
      </c>
      <c r="T71" s="203">
        <v>0</v>
      </c>
      <c r="U71" s="98">
        <v>0</v>
      </c>
      <c r="V71" s="85">
        <f t="shared" si="74"/>
        <v>0</v>
      </c>
      <c r="W71" s="225" t="s">
        <v>17</v>
      </c>
      <c r="X71" s="91">
        <v>0</v>
      </c>
      <c r="Y71" s="38">
        <f t="shared" si="75"/>
        <v>0</v>
      </c>
      <c r="Z71" s="104">
        <f t="shared" si="76"/>
        <v>0</v>
      </c>
      <c r="AA71" s="226">
        <v>0</v>
      </c>
      <c r="AB71" s="189">
        <v>0</v>
      </c>
      <c r="AC71" s="176">
        <v>0</v>
      </c>
      <c r="AD71" s="199">
        <f t="shared" si="78"/>
        <v>0</v>
      </c>
      <c r="AE71" s="203">
        <v>0</v>
      </c>
      <c r="AF71" s="98">
        <v>0</v>
      </c>
      <c r="AG71" s="85">
        <f t="shared" si="79"/>
        <v>0</v>
      </c>
      <c r="AH71" s="225" t="s">
        <v>17</v>
      </c>
      <c r="AI71" s="91">
        <v>0</v>
      </c>
      <c r="AJ71" s="38">
        <f t="shared" si="80"/>
        <v>0</v>
      </c>
      <c r="AK71" s="104">
        <f t="shared" si="81"/>
        <v>0</v>
      </c>
      <c r="AL71" s="226">
        <v>0</v>
      </c>
      <c r="AM71" s="189">
        <v>0</v>
      </c>
      <c r="AN71" s="176">
        <v>0</v>
      </c>
      <c r="AO71" s="199">
        <f t="shared" si="83"/>
        <v>0</v>
      </c>
      <c r="AP71" s="203">
        <v>0</v>
      </c>
      <c r="AQ71" s="98">
        <v>0</v>
      </c>
      <c r="AR71" s="85">
        <f t="shared" si="84"/>
        <v>0</v>
      </c>
      <c r="AS71" s="225" t="s">
        <v>17</v>
      </c>
      <c r="AT71" s="91">
        <v>0</v>
      </c>
      <c r="AU71" s="38">
        <f t="shared" si="85"/>
        <v>0</v>
      </c>
      <c r="AV71" s="104">
        <f t="shared" si="86"/>
        <v>0</v>
      </c>
      <c r="AW71" s="226">
        <v>0</v>
      </c>
      <c r="AX71" s="189">
        <v>0</v>
      </c>
      <c r="AY71" s="176">
        <v>0</v>
      </c>
      <c r="AZ71" s="199">
        <f t="shared" si="88"/>
        <v>0</v>
      </c>
      <c r="BA71" s="203">
        <v>0</v>
      </c>
      <c r="BB71" s="98">
        <v>0</v>
      </c>
      <c r="BC71" s="258">
        <f t="shared" si="89"/>
        <v>0</v>
      </c>
      <c r="BD71" s="225" t="s">
        <v>17</v>
      </c>
      <c r="BE71" s="91">
        <v>0</v>
      </c>
      <c r="BF71" s="38">
        <f t="shared" si="90"/>
        <v>0</v>
      </c>
      <c r="BG71" s="104">
        <f t="shared" si="91"/>
        <v>0</v>
      </c>
      <c r="BH71" s="226">
        <v>0</v>
      </c>
      <c r="BI71" s="189">
        <v>0</v>
      </c>
      <c r="BJ71" s="176">
        <v>0</v>
      </c>
      <c r="BK71" s="199">
        <f t="shared" si="93"/>
        <v>0</v>
      </c>
      <c r="BL71" s="203">
        <v>0</v>
      </c>
      <c r="BM71" s="98">
        <v>0</v>
      </c>
      <c r="BN71" s="258">
        <f t="shared" si="94"/>
        <v>0</v>
      </c>
      <c r="BO71" s="225" t="s">
        <v>17</v>
      </c>
      <c r="BP71" s="91">
        <v>0</v>
      </c>
      <c r="BQ71" s="38">
        <f t="shared" si="95"/>
        <v>0</v>
      </c>
      <c r="BR71" s="104">
        <f t="shared" si="96"/>
        <v>0</v>
      </c>
      <c r="BS71" s="226">
        <v>0</v>
      </c>
      <c r="BT71" s="189">
        <v>0</v>
      </c>
      <c r="BU71" s="176">
        <v>0</v>
      </c>
      <c r="BV71" s="199">
        <f t="shared" si="98"/>
        <v>0</v>
      </c>
      <c r="BW71" s="203">
        <v>0</v>
      </c>
      <c r="BX71" s="98">
        <v>0</v>
      </c>
      <c r="BY71" s="258">
        <f t="shared" si="99"/>
        <v>0</v>
      </c>
      <c r="BZ71" s="225" t="s">
        <v>17</v>
      </c>
      <c r="CA71" s="91">
        <v>0</v>
      </c>
      <c r="CB71" s="38">
        <f t="shared" si="100"/>
        <v>0</v>
      </c>
      <c r="CC71" s="104">
        <f t="shared" si="101"/>
        <v>0</v>
      </c>
      <c r="CD71" s="226">
        <v>0</v>
      </c>
      <c r="CE71" s="189">
        <v>0</v>
      </c>
      <c r="CF71" s="176">
        <v>0</v>
      </c>
      <c r="CG71" s="199">
        <f t="shared" si="103"/>
        <v>0</v>
      </c>
      <c r="CH71" s="203">
        <v>0</v>
      </c>
      <c r="CI71" s="98">
        <v>0</v>
      </c>
      <c r="CJ71" s="258">
        <f t="shared" si="104"/>
        <v>0</v>
      </c>
      <c r="CK71" s="225" t="s">
        <v>17</v>
      </c>
      <c r="CL71" s="91">
        <v>0</v>
      </c>
      <c r="CM71" s="38">
        <f t="shared" si="105"/>
        <v>0</v>
      </c>
      <c r="CN71" s="104">
        <f t="shared" si="106"/>
        <v>0</v>
      </c>
      <c r="CO71" s="226">
        <v>0</v>
      </c>
      <c r="CP71" s="189">
        <v>0</v>
      </c>
      <c r="CQ71" s="176">
        <v>0</v>
      </c>
      <c r="CR71" s="199">
        <f t="shared" si="108"/>
        <v>0</v>
      </c>
      <c r="CS71" s="203">
        <v>0</v>
      </c>
      <c r="CT71" s="98">
        <v>0</v>
      </c>
      <c r="CU71" s="258">
        <f t="shared" si="117"/>
        <v>0</v>
      </c>
      <c r="CV71" s="225" t="s">
        <v>17</v>
      </c>
      <c r="CW71" s="91">
        <v>0</v>
      </c>
      <c r="CX71" s="38">
        <f t="shared" si="109"/>
        <v>0</v>
      </c>
      <c r="CY71" s="104">
        <f t="shared" si="110"/>
        <v>0</v>
      </c>
      <c r="CZ71" s="226">
        <v>0</v>
      </c>
      <c r="DA71" s="189">
        <v>0</v>
      </c>
      <c r="DB71" s="176">
        <v>0</v>
      </c>
      <c r="DC71" s="199">
        <f t="shared" si="112"/>
        <v>0</v>
      </c>
      <c r="DD71" s="203">
        <v>0</v>
      </c>
      <c r="DE71" s="98">
        <v>0</v>
      </c>
      <c r="DF71" s="258">
        <f t="shared" si="118"/>
        <v>0</v>
      </c>
      <c r="DG71" s="225" t="s">
        <v>17</v>
      </c>
      <c r="DH71" s="91">
        <v>0</v>
      </c>
      <c r="DI71" s="283">
        <v>500000</v>
      </c>
      <c r="DJ71" s="104">
        <f t="shared" si="113"/>
        <v>500000</v>
      </c>
      <c r="DK71" s="226">
        <v>0</v>
      </c>
      <c r="DL71" s="189">
        <v>0</v>
      </c>
      <c r="DM71" s="176">
        <v>0</v>
      </c>
      <c r="DN71" s="199">
        <f t="shared" si="115"/>
        <v>0</v>
      </c>
      <c r="DO71" s="203">
        <v>0</v>
      </c>
      <c r="DP71" s="98">
        <v>500000</v>
      </c>
      <c r="DQ71" s="258">
        <f t="shared" si="120"/>
        <v>500000</v>
      </c>
    </row>
    <row r="72" spans="1:121" ht="21">
      <c r="A72" s="224" t="s">
        <v>126</v>
      </c>
      <c r="B72" s="239">
        <f>SUM(B60:B71)</f>
        <v>140000000</v>
      </c>
      <c r="C72" s="233">
        <f>SUM(C60:C71)</f>
        <v>2775514.3</v>
      </c>
      <c r="D72" s="236">
        <f>SUM(D60:D71)</f>
        <v>2775514.3</v>
      </c>
      <c r="E72" s="232">
        <f>+D72/B72</f>
        <v>0.01982510214285714</v>
      </c>
      <c r="F72" s="235">
        <f>SUM(F60:F71)</f>
        <v>6280870</v>
      </c>
      <c r="G72" s="235">
        <f>SUM(G60:G71)</f>
        <v>0</v>
      </c>
      <c r="H72" s="235">
        <f>SUM(H60:H71)</f>
        <v>0</v>
      </c>
      <c r="I72" s="238">
        <f>+H72/F72</f>
        <v>0</v>
      </c>
      <c r="J72" s="236">
        <f>SUM(J60:J71)</f>
        <v>2775514.3</v>
      </c>
      <c r="K72" s="237">
        <f>SUM(K60:K71)</f>
        <v>2775514.3</v>
      </c>
      <c r="L72" s="224" t="s">
        <v>126</v>
      </c>
      <c r="M72" s="239">
        <f>SUM(M60:M71)</f>
        <v>140000000</v>
      </c>
      <c r="N72" s="233">
        <f>SUM(N60:N71)</f>
        <v>2822688.73</v>
      </c>
      <c r="O72" s="236">
        <f>SUM(O60:O71)</f>
        <v>5598203.03</v>
      </c>
      <c r="P72" s="232">
        <f>+O72/M72</f>
        <v>0.039987164500000005</v>
      </c>
      <c r="Q72" s="235">
        <f>SUM(Q60:Q71)</f>
        <v>6280870</v>
      </c>
      <c r="R72" s="235">
        <f>SUM(R60:R71)</f>
        <v>0</v>
      </c>
      <c r="S72" s="235">
        <f>SUM(S60:S71)</f>
        <v>0</v>
      </c>
      <c r="T72" s="238">
        <f>+S72/Q72</f>
        <v>0</v>
      </c>
      <c r="U72" s="236">
        <f>SUM(U60:U71)</f>
        <v>2822688.73</v>
      </c>
      <c r="V72" s="237">
        <f>SUM(V60:V71)</f>
        <v>5598203.03</v>
      </c>
      <c r="W72" s="224" t="s">
        <v>126</v>
      </c>
      <c r="X72" s="239">
        <f>SUM(X60:X71)</f>
        <v>140000000</v>
      </c>
      <c r="Y72" s="233">
        <f>SUM(Y60:Y71)</f>
        <v>6946946.829999999</v>
      </c>
      <c r="Z72" s="236">
        <f>SUM(Z60:Z71)</f>
        <v>12545149.86</v>
      </c>
      <c r="AA72" s="232">
        <f>+Z72/X72</f>
        <v>0.08960821328571428</v>
      </c>
      <c r="AB72" s="235">
        <f>SUM(AB60:AB71)</f>
        <v>6280870</v>
      </c>
      <c r="AC72" s="235">
        <f>SUM(AC60:AC71)</f>
        <v>0</v>
      </c>
      <c r="AD72" s="235">
        <f>SUM(AD60:AD71)</f>
        <v>0</v>
      </c>
      <c r="AE72" s="238">
        <f>+AD72/AB72</f>
        <v>0</v>
      </c>
      <c r="AF72" s="236">
        <f>SUM(AF60:AF71)</f>
        <v>6946946.829999999</v>
      </c>
      <c r="AG72" s="237">
        <f>SUM(AG60:AG71)</f>
        <v>12545149.86</v>
      </c>
      <c r="AH72" s="224" t="s">
        <v>126</v>
      </c>
      <c r="AI72" s="239">
        <f>SUM(AI60:AI71)</f>
        <v>140000000</v>
      </c>
      <c r="AJ72" s="233">
        <f>SUM(AJ60:AJ71)</f>
        <v>10865569.63</v>
      </c>
      <c r="AK72" s="236">
        <f>SUM(AK60:AK71)</f>
        <v>23410719.490000002</v>
      </c>
      <c r="AL72" s="232">
        <f>+AK72/AI72</f>
        <v>0.16721942492857145</v>
      </c>
      <c r="AM72" s="235">
        <f>SUM(AM60:AM71)</f>
        <v>6280870</v>
      </c>
      <c r="AN72" s="235">
        <f>SUM(AN60:AN71)</f>
        <v>0</v>
      </c>
      <c r="AO72" s="235">
        <f>SUM(AO60:AO71)</f>
        <v>0</v>
      </c>
      <c r="AP72" s="238">
        <f>+AO72/AM72</f>
        <v>0</v>
      </c>
      <c r="AQ72" s="236">
        <f>SUM(AQ60:AQ71)</f>
        <v>10865569.63</v>
      </c>
      <c r="AR72" s="237">
        <f>SUM(AR60:AR71)</f>
        <v>23410719.490000002</v>
      </c>
      <c r="AS72" s="224" t="s">
        <v>126</v>
      </c>
      <c r="AT72" s="239">
        <f>SUM(AT60:AT71)</f>
        <v>224698375</v>
      </c>
      <c r="AU72" s="233">
        <f>SUM(AU60:AU71)</f>
        <v>14973695.549999999</v>
      </c>
      <c r="AV72" s="236">
        <f>SUM(AV60:AV71)</f>
        <v>38384415.04</v>
      </c>
      <c r="AW72" s="232">
        <f>+AV72/AT72</f>
        <v>0.17082640246063194</v>
      </c>
      <c r="AX72" s="235">
        <f>SUM(AX60:AX71)</f>
        <v>6280870</v>
      </c>
      <c r="AY72" s="235">
        <f>SUM(AY60:AY71)</f>
        <v>0</v>
      </c>
      <c r="AZ72" s="235">
        <f>SUM(AZ60:AZ71)</f>
        <v>0</v>
      </c>
      <c r="BA72" s="238">
        <f>+AZ72/AX72</f>
        <v>0</v>
      </c>
      <c r="BB72" s="236">
        <f>SUM(BB60:BB71)</f>
        <v>14973695.549999999</v>
      </c>
      <c r="BC72" s="266">
        <f>SUM(BC60:BC71)</f>
        <v>38384415.04</v>
      </c>
      <c r="BD72" s="224" t="s">
        <v>126</v>
      </c>
      <c r="BE72" s="239">
        <f>SUM(BE60:BE71)</f>
        <v>224698375</v>
      </c>
      <c r="BF72" s="233">
        <f>SUM(BF60:BF71)</f>
        <v>6162423.2299999995</v>
      </c>
      <c r="BG72" s="236">
        <f>SUM(BG60:BG71)</f>
        <v>44546838.27</v>
      </c>
      <c r="BH72" s="232">
        <f>+BG72/BE72</f>
        <v>0.19825171530501723</v>
      </c>
      <c r="BI72" s="235">
        <f>SUM(BI60:BI71)</f>
        <v>6280870</v>
      </c>
      <c r="BJ72" s="235">
        <f>SUM(BJ60:BJ71)</f>
        <v>0</v>
      </c>
      <c r="BK72" s="235">
        <f>SUM(BK60:BK71)</f>
        <v>0</v>
      </c>
      <c r="BL72" s="238">
        <f>+BK72/BI72</f>
        <v>0</v>
      </c>
      <c r="BM72" s="236">
        <f>SUM(BM60:BM71)</f>
        <v>6162423.2299999995</v>
      </c>
      <c r="BN72" s="266">
        <f>SUM(BN60:BN71)</f>
        <v>44546838.27</v>
      </c>
      <c r="BO72" s="224" t="s">
        <v>126</v>
      </c>
      <c r="BP72" s="239">
        <f>SUM(BP60:BP71)</f>
        <v>224698375</v>
      </c>
      <c r="BQ72" s="233">
        <f>SUM(BQ60:BQ71)</f>
        <v>21810541.5</v>
      </c>
      <c r="BR72" s="236">
        <f>SUM(BR60:BR71)</f>
        <v>66357379.77</v>
      </c>
      <c r="BS72" s="232">
        <f>+BR72/BP72</f>
        <v>0.2953175774858185</v>
      </c>
      <c r="BT72" s="235">
        <f>SUM(BT60:BT71)</f>
        <v>6280870</v>
      </c>
      <c r="BU72" s="235">
        <f>SUM(BU60:BU71)</f>
        <v>0</v>
      </c>
      <c r="BV72" s="235">
        <f>SUM(BV60:BV71)</f>
        <v>0</v>
      </c>
      <c r="BW72" s="238">
        <f>+BV72/BT72</f>
        <v>0</v>
      </c>
      <c r="BX72" s="236">
        <f>SUM(BX60:BX71)</f>
        <v>21810541.5</v>
      </c>
      <c r="BY72" s="266">
        <f>SUM(BY60:BY71)</f>
        <v>66357379.77</v>
      </c>
      <c r="BZ72" s="224" t="s">
        <v>126</v>
      </c>
      <c r="CA72" s="239">
        <f>SUM(CA60:CA71)</f>
        <v>224698375</v>
      </c>
      <c r="CB72" s="233">
        <f>SUM(CB60:CB71)</f>
        <v>9429321.030000001</v>
      </c>
      <c r="CC72" s="236">
        <f>SUM(CC60:CC71)</f>
        <v>75786700.80000001</v>
      </c>
      <c r="CD72" s="232">
        <f>+CC72/CA72</f>
        <v>0.337281926493683</v>
      </c>
      <c r="CE72" s="235">
        <f>SUM(CE60:CE71)</f>
        <v>6280870</v>
      </c>
      <c r="CF72" s="235">
        <f>SUM(CF60:CF71)</f>
        <v>0</v>
      </c>
      <c r="CG72" s="235">
        <f>SUM(CG60:CG71)</f>
        <v>0</v>
      </c>
      <c r="CH72" s="238">
        <f>+CG72/CE72</f>
        <v>0</v>
      </c>
      <c r="CI72" s="236">
        <f>SUM(CI60:CI71)</f>
        <v>9429321.030000001</v>
      </c>
      <c r="CJ72" s="266">
        <f>SUM(CJ60:CJ71)</f>
        <v>75786700.80000001</v>
      </c>
      <c r="CK72" s="224" t="s">
        <v>126</v>
      </c>
      <c r="CL72" s="239">
        <f>SUM(CL60:CL71)</f>
        <v>224698375</v>
      </c>
      <c r="CM72" s="233">
        <f>SUM(CM60:CM71)</f>
        <v>13806999.950000001</v>
      </c>
      <c r="CN72" s="236">
        <f>SUM(CN60:CN71)</f>
        <v>89593700.75000003</v>
      </c>
      <c r="CO72" s="232">
        <f>+CN72/CL72</f>
        <v>0.3987287435879322</v>
      </c>
      <c r="CP72" s="235">
        <f>SUM(CP60:CP71)</f>
        <v>6280870</v>
      </c>
      <c r="CQ72" s="235">
        <f>SUM(CQ60:CQ71)</f>
        <v>0</v>
      </c>
      <c r="CR72" s="235">
        <f>SUM(CR60:CR71)</f>
        <v>0</v>
      </c>
      <c r="CS72" s="238">
        <f>+CR72/CP72</f>
        <v>0</v>
      </c>
      <c r="CT72" s="236">
        <f>SUM(CT60:CT71)</f>
        <v>13806999.950000001</v>
      </c>
      <c r="CU72" s="266">
        <f>SUM(CU60:CU71)</f>
        <v>89593700.75000003</v>
      </c>
      <c r="CV72" s="224" t="s">
        <v>126</v>
      </c>
      <c r="CW72" s="239">
        <f>SUM(CW60:CW71)</f>
        <v>224698375</v>
      </c>
      <c r="CX72" s="233">
        <f>SUM(CX60:CX71)</f>
        <v>11498959.999999998</v>
      </c>
      <c r="CY72" s="236">
        <f>SUM(CY60:CY71)</f>
        <v>101092660.75</v>
      </c>
      <c r="CZ72" s="232">
        <f>+CY72/CW72</f>
        <v>0.4499038355306308</v>
      </c>
      <c r="DA72" s="235">
        <f>SUM(DA60:DA71)</f>
        <v>6280870</v>
      </c>
      <c r="DB72" s="235">
        <f>SUM(DB60:DB71)</f>
        <v>0</v>
      </c>
      <c r="DC72" s="235">
        <f>SUM(DC60:DC71)</f>
        <v>0</v>
      </c>
      <c r="DD72" s="238">
        <f>+DC72/DA72</f>
        <v>0</v>
      </c>
      <c r="DE72" s="236">
        <f>SUM(DE60:DE71)</f>
        <v>11498959.999999998</v>
      </c>
      <c r="DF72" s="266">
        <f>SUM(DF60:DF71)</f>
        <v>101092660.75</v>
      </c>
      <c r="DG72" s="224" t="s">
        <v>126</v>
      </c>
      <c r="DH72" s="239">
        <f>SUM(DH60:DH71)</f>
        <v>224698375</v>
      </c>
      <c r="DI72" s="291">
        <f>SUM(DI60:DI71)</f>
        <v>13032218.200000001</v>
      </c>
      <c r="DJ72" s="236">
        <f>SUM(DJ60:DJ71)</f>
        <v>114124878.95000002</v>
      </c>
      <c r="DK72" s="232">
        <f>+DJ72/DH72</f>
        <v>0.5079025558151011</v>
      </c>
      <c r="DL72" s="235">
        <f>SUM(DL60:DL71)</f>
        <v>6280870</v>
      </c>
      <c r="DM72" s="235">
        <f>SUM(DM60:DM71)</f>
        <v>0</v>
      </c>
      <c r="DN72" s="235">
        <f>SUM(DN60:DN71)</f>
        <v>0</v>
      </c>
      <c r="DO72" s="238">
        <f>+DN72/DL72</f>
        <v>0</v>
      </c>
      <c r="DP72" s="236">
        <f>SUM(DP60:DP71)</f>
        <v>13032218.200000001</v>
      </c>
      <c r="DQ72" s="266">
        <f>SUM(DQ60:DQ71)</f>
        <v>114124878.95000002</v>
      </c>
    </row>
    <row r="73" spans="1:121" ht="21">
      <c r="A73" s="227" t="s">
        <v>144</v>
      </c>
      <c r="B73" s="212"/>
      <c r="C73" s="211"/>
      <c r="D73" s="110"/>
      <c r="E73" s="228"/>
      <c r="F73" s="229"/>
      <c r="G73" s="213"/>
      <c r="H73" s="223"/>
      <c r="I73" s="230"/>
      <c r="J73" s="231"/>
      <c r="K73" s="110"/>
      <c r="L73" s="227" t="s">
        <v>144</v>
      </c>
      <c r="M73" s="212"/>
      <c r="N73" s="211"/>
      <c r="O73" s="110"/>
      <c r="P73" s="228"/>
      <c r="Q73" s="229"/>
      <c r="R73" s="213"/>
      <c r="S73" s="223"/>
      <c r="T73" s="230"/>
      <c r="U73" s="231"/>
      <c r="V73" s="110"/>
      <c r="W73" s="227" t="s">
        <v>144</v>
      </c>
      <c r="X73" s="212"/>
      <c r="Y73" s="211"/>
      <c r="Z73" s="110"/>
      <c r="AA73" s="228"/>
      <c r="AB73" s="229"/>
      <c r="AC73" s="213"/>
      <c r="AD73" s="223"/>
      <c r="AE73" s="230"/>
      <c r="AF73" s="231"/>
      <c r="AG73" s="110"/>
      <c r="AH73" s="227" t="s">
        <v>144</v>
      </c>
      <c r="AI73" s="212"/>
      <c r="AJ73" s="211"/>
      <c r="AK73" s="110"/>
      <c r="AL73" s="228"/>
      <c r="AM73" s="229"/>
      <c r="AN73" s="213"/>
      <c r="AO73" s="223"/>
      <c r="AP73" s="230"/>
      <c r="AQ73" s="231"/>
      <c r="AR73" s="110"/>
      <c r="AS73" s="227" t="s">
        <v>144</v>
      </c>
      <c r="AT73" s="212"/>
      <c r="AU73" s="211"/>
      <c r="AV73" s="110"/>
      <c r="AW73" s="228"/>
      <c r="AX73" s="229"/>
      <c r="AY73" s="213"/>
      <c r="AZ73" s="223"/>
      <c r="BA73" s="230"/>
      <c r="BB73" s="231"/>
      <c r="BC73" s="265"/>
      <c r="BD73" s="227" t="s">
        <v>144</v>
      </c>
      <c r="BE73" s="212"/>
      <c r="BF73" s="211"/>
      <c r="BG73" s="110"/>
      <c r="BH73" s="228"/>
      <c r="BI73" s="229"/>
      <c r="BJ73" s="213"/>
      <c r="BK73" s="223"/>
      <c r="BL73" s="230"/>
      <c r="BM73" s="231"/>
      <c r="BN73" s="265"/>
      <c r="BO73" s="227" t="s">
        <v>144</v>
      </c>
      <c r="BP73" s="212"/>
      <c r="BQ73" s="211"/>
      <c r="BR73" s="110"/>
      <c r="BS73" s="228"/>
      <c r="BT73" s="229"/>
      <c r="BU73" s="213"/>
      <c r="BV73" s="223"/>
      <c r="BW73" s="230"/>
      <c r="BX73" s="231"/>
      <c r="BY73" s="265"/>
      <c r="BZ73" s="227" t="s">
        <v>144</v>
      </c>
      <c r="CA73" s="212"/>
      <c r="CB73" s="211"/>
      <c r="CC73" s="110"/>
      <c r="CD73" s="228"/>
      <c r="CE73" s="229"/>
      <c r="CF73" s="213"/>
      <c r="CG73" s="223"/>
      <c r="CH73" s="230"/>
      <c r="CI73" s="231"/>
      <c r="CJ73" s="265"/>
      <c r="CK73" s="227" t="s">
        <v>144</v>
      </c>
      <c r="CL73" s="212"/>
      <c r="CM73" s="211"/>
      <c r="CN73" s="110"/>
      <c r="CO73" s="228"/>
      <c r="CP73" s="229"/>
      <c r="CQ73" s="213"/>
      <c r="CR73" s="223"/>
      <c r="CS73" s="230"/>
      <c r="CT73" s="231"/>
      <c r="CU73" s="265"/>
      <c r="CV73" s="227" t="s">
        <v>144</v>
      </c>
      <c r="CW73" s="212"/>
      <c r="CX73" s="211"/>
      <c r="CY73" s="110"/>
      <c r="CZ73" s="228"/>
      <c r="DA73" s="229"/>
      <c r="DB73" s="213"/>
      <c r="DC73" s="223"/>
      <c r="DD73" s="230"/>
      <c r="DE73" s="231"/>
      <c r="DF73" s="265"/>
      <c r="DG73" s="227" t="s">
        <v>144</v>
      </c>
      <c r="DH73" s="212"/>
      <c r="DI73" s="292"/>
      <c r="DJ73" s="110"/>
      <c r="DK73" s="228"/>
      <c r="DL73" s="229"/>
      <c r="DM73" s="213"/>
      <c r="DN73" s="223"/>
      <c r="DO73" s="230"/>
      <c r="DP73" s="231"/>
      <c r="DQ73" s="265"/>
    </row>
    <row r="74" spans="1:121" ht="21">
      <c r="A74" s="93" t="s">
        <v>3</v>
      </c>
      <c r="B74" s="91">
        <v>911815</v>
      </c>
      <c r="C74" s="38">
        <f aca="true" t="shared" si="121" ref="C74:C79">+J74-G74</f>
        <v>904615</v>
      </c>
      <c r="D74" s="104">
        <f aca="true" t="shared" si="122" ref="D74:D79">+K74-H74</f>
        <v>904615</v>
      </c>
      <c r="E74" s="203">
        <f>+D74/B74</f>
        <v>0.9921036613786788</v>
      </c>
      <c r="F74" s="189">
        <v>0</v>
      </c>
      <c r="G74" s="176">
        <v>0</v>
      </c>
      <c r="H74" s="199">
        <f aca="true" t="shared" si="123" ref="H74:H79">+G74</f>
        <v>0</v>
      </c>
      <c r="I74" s="203">
        <v>0</v>
      </c>
      <c r="J74" s="98">
        <v>904615</v>
      </c>
      <c r="K74" s="85">
        <f aca="true" t="shared" si="124" ref="K74:K79">+J74</f>
        <v>904615</v>
      </c>
      <c r="L74" s="93" t="s">
        <v>3</v>
      </c>
      <c r="M74" s="91">
        <v>911815</v>
      </c>
      <c r="N74" s="38">
        <f aca="true" t="shared" si="125" ref="N74:N79">+U74-R74</f>
        <v>7200</v>
      </c>
      <c r="O74" s="104">
        <f aca="true" t="shared" si="126" ref="O74:O79">+V74-S74</f>
        <v>911815</v>
      </c>
      <c r="P74" s="203">
        <f aca="true" t="shared" si="127" ref="P74:P81">+O74/M74</f>
        <v>1</v>
      </c>
      <c r="Q74" s="189">
        <v>0</v>
      </c>
      <c r="R74" s="176">
        <v>0</v>
      </c>
      <c r="S74" s="199">
        <f aca="true" t="shared" si="128" ref="S74:S79">+R74</f>
        <v>0</v>
      </c>
      <c r="T74" s="203">
        <v>0</v>
      </c>
      <c r="U74" s="98">
        <v>7200</v>
      </c>
      <c r="V74" s="85">
        <f aca="true" t="shared" si="129" ref="V74:V79">U74+K74</f>
        <v>911815</v>
      </c>
      <c r="W74" s="93" t="s">
        <v>3</v>
      </c>
      <c r="X74" s="91">
        <v>911815</v>
      </c>
      <c r="Y74" s="38">
        <f aca="true" t="shared" si="130" ref="Y74:Y79">+AF74-AC74</f>
        <v>0</v>
      </c>
      <c r="Z74" s="104">
        <f aca="true" t="shared" si="131" ref="Z74:Z79">+AG74-AD74</f>
        <v>911815</v>
      </c>
      <c r="AA74" s="203">
        <f aca="true" t="shared" si="132" ref="AA74:AA81">+Z74/X74</f>
        <v>1</v>
      </c>
      <c r="AB74" s="189">
        <v>0</v>
      </c>
      <c r="AC74" s="176">
        <v>0</v>
      </c>
      <c r="AD74" s="199">
        <f aca="true" t="shared" si="133" ref="AD74:AD79">+AC74+S74</f>
        <v>0</v>
      </c>
      <c r="AE74" s="203">
        <v>0</v>
      </c>
      <c r="AF74" s="98">
        <v>0</v>
      </c>
      <c r="AG74" s="85">
        <f aca="true" t="shared" si="134" ref="AG74:AG79">AF74+V74</f>
        <v>911815</v>
      </c>
      <c r="AH74" s="93" t="s">
        <v>3</v>
      </c>
      <c r="AI74" s="91">
        <v>911815</v>
      </c>
      <c r="AJ74" s="38">
        <f aca="true" t="shared" si="135" ref="AJ74:AJ79">+AQ74-AN74</f>
        <v>0</v>
      </c>
      <c r="AK74" s="104">
        <f aca="true" t="shared" si="136" ref="AK74:AK79">+AR74-AO74</f>
        <v>911815</v>
      </c>
      <c r="AL74" s="203">
        <f aca="true" t="shared" si="137" ref="AL74:AL81">+AK74/AI74</f>
        <v>1</v>
      </c>
      <c r="AM74" s="189">
        <v>0</v>
      </c>
      <c r="AN74" s="176">
        <v>0</v>
      </c>
      <c r="AO74" s="199">
        <f aca="true" t="shared" si="138" ref="AO74:AO79">+AN74+AD74</f>
        <v>0</v>
      </c>
      <c r="AP74" s="203">
        <v>0</v>
      </c>
      <c r="AQ74" s="98">
        <v>0</v>
      </c>
      <c r="AR74" s="85">
        <f aca="true" t="shared" si="139" ref="AR74:AR79">AQ74+AG74</f>
        <v>911815</v>
      </c>
      <c r="AS74" s="93" t="s">
        <v>3</v>
      </c>
      <c r="AT74" s="91">
        <v>911815</v>
      </c>
      <c r="AU74" s="38">
        <f aca="true" t="shared" si="140" ref="AU74:AU79">+BB74-AY74</f>
        <v>0</v>
      </c>
      <c r="AV74" s="104">
        <f aca="true" t="shared" si="141" ref="AV74:AV79">+BC74-AZ74</f>
        <v>911815</v>
      </c>
      <c r="AW74" s="203">
        <f aca="true" t="shared" si="142" ref="AW74:AW81">+AV74/AT74</f>
        <v>1</v>
      </c>
      <c r="AX74" s="189">
        <v>0</v>
      </c>
      <c r="AY74" s="176">
        <v>0</v>
      </c>
      <c r="AZ74" s="199">
        <f aca="true" t="shared" si="143" ref="AZ74:AZ79">+AY74+AO74</f>
        <v>0</v>
      </c>
      <c r="BA74" s="203">
        <v>0</v>
      </c>
      <c r="BB74" s="98">
        <v>0</v>
      </c>
      <c r="BC74" s="258">
        <f aca="true" t="shared" si="144" ref="BC74:BC79">BB74+AR74</f>
        <v>911815</v>
      </c>
      <c r="BD74" s="93" t="s">
        <v>3</v>
      </c>
      <c r="BE74" s="91">
        <v>911815</v>
      </c>
      <c r="BF74" s="38">
        <f aca="true" t="shared" si="145" ref="BF74:BF79">+BM74-BJ74</f>
        <v>0</v>
      </c>
      <c r="BG74" s="104">
        <f aca="true" t="shared" si="146" ref="BG74:BG79">+BN74-BK74</f>
        <v>911815</v>
      </c>
      <c r="BH74" s="203">
        <f aca="true" t="shared" si="147" ref="BH74:BH81">+BG74/BE74</f>
        <v>1</v>
      </c>
      <c r="BI74" s="189">
        <v>0</v>
      </c>
      <c r="BJ74" s="176">
        <v>0</v>
      </c>
      <c r="BK74" s="199">
        <f aca="true" t="shared" si="148" ref="BK74:BK79">+BJ74+AZ74</f>
        <v>0</v>
      </c>
      <c r="BL74" s="203">
        <v>0</v>
      </c>
      <c r="BM74" s="98">
        <v>0</v>
      </c>
      <c r="BN74" s="258">
        <f aca="true" t="shared" si="149" ref="BN74:BN79">BM74+BC74</f>
        <v>911815</v>
      </c>
      <c r="BO74" s="93" t="s">
        <v>3</v>
      </c>
      <c r="BP74" s="91">
        <v>911815</v>
      </c>
      <c r="BQ74" s="38">
        <f aca="true" t="shared" si="150" ref="BQ74:BQ79">+BX74-BU74</f>
        <v>0</v>
      </c>
      <c r="BR74" s="104">
        <f aca="true" t="shared" si="151" ref="BR74:BR79">+BY74-BV74</f>
        <v>911815</v>
      </c>
      <c r="BS74" s="203">
        <f aca="true" t="shared" si="152" ref="BS74:BS81">+BR74/BP74</f>
        <v>1</v>
      </c>
      <c r="BT74" s="189">
        <v>0</v>
      </c>
      <c r="BU74" s="176">
        <v>0</v>
      </c>
      <c r="BV74" s="199">
        <f aca="true" t="shared" si="153" ref="BV74:BV79">+BU74+BK74</f>
        <v>0</v>
      </c>
      <c r="BW74" s="203">
        <v>0</v>
      </c>
      <c r="BX74" s="98">
        <v>0</v>
      </c>
      <c r="BY74" s="258">
        <f aca="true" t="shared" si="154" ref="BY74:BY79">BX74+BN74</f>
        <v>911815</v>
      </c>
      <c r="BZ74" s="93" t="s">
        <v>3</v>
      </c>
      <c r="CA74" s="91">
        <v>911815</v>
      </c>
      <c r="CB74" s="38">
        <f aca="true" t="shared" si="155" ref="CB74:CB79">+CI74-CF74</f>
        <v>0</v>
      </c>
      <c r="CC74" s="104">
        <f aca="true" t="shared" si="156" ref="CC74:CC79">+CJ74-CG74</f>
        <v>911815</v>
      </c>
      <c r="CD74" s="203">
        <f aca="true" t="shared" si="157" ref="CD74:CD81">+CC74/CA74</f>
        <v>1</v>
      </c>
      <c r="CE74" s="189">
        <v>0</v>
      </c>
      <c r="CF74" s="176">
        <v>0</v>
      </c>
      <c r="CG74" s="199">
        <f aca="true" t="shared" si="158" ref="CG74:CG79">+CF74+BV74</f>
        <v>0</v>
      </c>
      <c r="CH74" s="203">
        <v>0</v>
      </c>
      <c r="CI74" s="98">
        <v>0</v>
      </c>
      <c r="CJ74" s="258">
        <f aca="true" t="shared" si="159" ref="CJ74:CJ79">CI74+BY74</f>
        <v>911815</v>
      </c>
      <c r="CK74" s="93" t="s">
        <v>3</v>
      </c>
      <c r="CL74" s="91">
        <v>911815</v>
      </c>
      <c r="CM74" s="38">
        <f aca="true" t="shared" si="160" ref="CM74:CM79">+CT74-CQ74</f>
        <v>0</v>
      </c>
      <c r="CN74" s="104">
        <f aca="true" t="shared" si="161" ref="CN74:CN79">+CU74-CR74</f>
        <v>911815</v>
      </c>
      <c r="CO74" s="203">
        <f aca="true" t="shared" si="162" ref="CO74:CO81">+CN74/CL74</f>
        <v>1</v>
      </c>
      <c r="CP74" s="189">
        <v>0</v>
      </c>
      <c r="CQ74" s="176">
        <v>0</v>
      </c>
      <c r="CR74" s="199">
        <f aca="true" t="shared" si="163" ref="CR74:CR79">+CQ74+CG74</f>
        <v>0</v>
      </c>
      <c r="CS74" s="203">
        <v>0</v>
      </c>
      <c r="CT74" s="98">
        <v>0</v>
      </c>
      <c r="CU74" s="258">
        <f aca="true" t="shared" si="164" ref="CU74:CU79">CT74+CJ74</f>
        <v>911815</v>
      </c>
      <c r="CV74" s="93" t="s">
        <v>3</v>
      </c>
      <c r="CW74" s="91">
        <v>911815</v>
      </c>
      <c r="CX74" s="38">
        <f aca="true" t="shared" si="165" ref="CX74:CX79">+DE74-DB74</f>
        <v>0</v>
      </c>
      <c r="CY74" s="104">
        <f aca="true" t="shared" si="166" ref="CY74:CY79">+DF74-DC74</f>
        <v>911815</v>
      </c>
      <c r="CZ74" s="203">
        <f aca="true" t="shared" si="167" ref="CZ74:CZ81">+CY74/CW74</f>
        <v>1</v>
      </c>
      <c r="DA74" s="189">
        <v>0</v>
      </c>
      <c r="DB74" s="176">
        <v>0</v>
      </c>
      <c r="DC74" s="199">
        <f aca="true" t="shared" si="168" ref="DC74:DC79">+DB74+CR74</f>
        <v>0</v>
      </c>
      <c r="DD74" s="203">
        <v>0</v>
      </c>
      <c r="DE74" s="98">
        <v>0</v>
      </c>
      <c r="DF74" s="258">
        <f aca="true" t="shared" si="169" ref="DF74:DF79">DE74+CU74</f>
        <v>911815</v>
      </c>
      <c r="DG74" s="93" t="s">
        <v>3</v>
      </c>
      <c r="DH74" s="91">
        <v>911815</v>
      </c>
      <c r="DI74" s="283">
        <f aca="true" t="shared" si="170" ref="DI74:DI79">+DP74-DM74</f>
        <v>0</v>
      </c>
      <c r="DJ74" s="104">
        <f aca="true" t="shared" si="171" ref="DJ74:DJ79">+DQ74-DN74</f>
        <v>911815</v>
      </c>
      <c r="DK74" s="203">
        <f aca="true" t="shared" si="172" ref="DK74:DK81">+DJ74/DH74</f>
        <v>1</v>
      </c>
      <c r="DL74" s="189">
        <v>0</v>
      </c>
      <c r="DM74" s="176">
        <v>0</v>
      </c>
      <c r="DN74" s="199">
        <f aca="true" t="shared" si="173" ref="DN74:DN79">+DM74+DC74</f>
        <v>0</v>
      </c>
      <c r="DO74" s="203">
        <v>0</v>
      </c>
      <c r="DP74" s="98">
        <v>0</v>
      </c>
      <c r="DQ74" s="258">
        <f aca="true" t="shared" si="174" ref="DQ74:DQ79">DP74+DF74</f>
        <v>911815</v>
      </c>
    </row>
    <row r="75" spans="1:121" ht="21">
      <c r="A75" s="93" t="s">
        <v>4</v>
      </c>
      <c r="B75" s="91">
        <v>715245</v>
      </c>
      <c r="C75" s="38">
        <f t="shared" si="121"/>
        <v>444611</v>
      </c>
      <c r="D75" s="104">
        <f t="shared" si="122"/>
        <v>444611</v>
      </c>
      <c r="E75" s="203">
        <f>+D75/B75</f>
        <v>0.6216205635831079</v>
      </c>
      <c r="F75" s="189">
        <v>34261.4</v>
      </c>
      <c r="G75" s="176">
        <v>0</v>
      </c>
      <c r="H75" s="199">
        <f t="shared" si="123"/>
        <v>0</v>
      </c>
      <c r="I75" s="222">
        <f>+H75/F75</f>
        <v>0</v>
      </c>
      <c r="J75" s="98">
        <v>444611</v>
      </c>
      <c r="K75" s="85">
        <f t="shared" si="124"/>
        <v>444611</v>
      </c>
      <c r="L75" s="93" t="s">
        <v>4</v>
      </c>
      <c r="M75" s="91">
        <v>715245</v>
      </c>
      <c r="N75" s="38">
        <f t="shared" si="125"/>
        <v>270634</v>
      </c>
      <c r="O75" s="104">
        <f t="shared" si="126"/>
        <v>715245</v>
      </c>
      <c r="P75" s="203">
        <f t="shared" si="127"/>
        <v>1</v>
      </c>
      <c r="Q75" s="189">
        <v>34261.4</v>
      </c>
      <c r="R75" s="176">
        <v>0</v>
      </c>
      <c r="S75" s="199">
        <f t="shared" si="128"/>
        <v>0</v>
      </c>
      <c r="T75" s="222">
        <f>+S75/Q75</f>
        <v>0</v>
      </c>
      <c r="U75" s="98">
        <f>32833+4550+28027+16264+38740+26740+14980+5350+47300+8350+40000+7500</f>
        <v>270634</v>
      </c>
      <c r="V75" s="85">
        <f t="shared" si="129"/>
        <v>715245</v>
      </c>
      <c r="W75" s="93" t="s">
        <v>4</v>
      </c>
      <c r="X75" s="91">
        <v>715245</v>
      </c>
      <c r="Y75" s="38">
        <f t="shared" si="130"/>
        <v>0</v>
      </c>
      <c r="Z75" s="104">
        <f t="shared" si="131"/>
        <v>715245</v>
      </c>
      <c r="AA75" s="203">
        <f t="shared" si="132"/>
        <v>1</v>
      </c>
      <c r="AB75" s="189">
        <v>34261.4</v>
      </c>
      <c r="AC75" s="176">
        <v>0</v>
      </c>
      <c r="AD75" s="199">
        <f t="shared" si="133"/>
        <v>0</v>
      </c>
      <c r="AE75" s="222">
        <f>+AD75/AB75</f>
        <v>0</v>
      </c>
      <c r="AF75" s="98">
        <v>0</v>
      </c>
      <c r="AG75" s="85">
        <f t="shared" si="134"/>
        <v>715245</v>
      </c>
      <c r="AH75" s="93" t="s">
        <v>4</v>
      </c>
      <c r="AI75" s="91">
        <v>715245</v>
      </c>
      <c r="AJ75" s="38">
        <f t="shared" si="135"/>
        <v>0</v>
      </c>
      <c r="AK75" s="104">
        <f t="shared" si="136"/>
        <v>715245</v>
      </c>
      <c r="AL75" s="203">
        <f t="shared" si="137"/>
        <v>1</v>
      </c>
      <c r="AM75" s="189">
        <v>0</v>
      </c>
      <c r="AN75" s="176">
        <v>0</v>
      </c>
      <c r="AO75" s="199">
        <f t="shared" si="138"/>
        <v>0</v>
      </c>
      <c r="AP75" s="203">
        <v>0</v>
      </c>
      <c r="AQ75" s="98">
        <v>0</v>
      </c>
      <c r="AR75" s="85">
        <f t="shared" si="139"/>
        <v>715245</v>
      </c>
      <c r="AS75" s="93" t="s">
        <v>4</v>
      </c>
      <c r="AT75" s="91">
        <v>715245</v>
      </c>
      <c r="AU75" s="38">
        <f t="shared" si="140"/>
        <v>0</v>
      </c>
      <c r="AV75" s="104">
        <f t="shared" si="141"/>
        <v>715245</v>
      </c>
      <c r="AW75" s="203">
        <f t="shared" si="142"/>
        <v>1</v>
      </c>
      <c r="AX75" s="189">
        <v>0</v>
      </c>
      <c r="AY75" s="176">
        <v>0</v>
      </c>
      <c r="AZ75" s="199">
        <f t="shared" si="143"/>
        <v>0</v>
      </c>
      <c r="BA75" s="203">
        <v>0</v>
      </c>
      <c r="BB75" s="98">
        <v>0</v>
      </c>
      <c r="BC75" s="258">
        <f t="shared" si="144"/>
        <v>715245</v>
      </c>
      <c r="BD75" s="93" t="s">
        <v>4</v>
      </c>
      <c r="BE75" s="91">
        <v>715245</v>
      </c>
      <c r="BF75" s="38">
        <f t="shared" si="145"/>
        <v>0</v>
      </c>
      <c r="BG75" s="104">
        <f t="shared" si="146"/>
        <v>715245</v>
      </c>
      <c r="BH75" s="203">
        <f t="shared" si="147"/>
        <v>1</v>
      </c>
      <c r="BI75" s="189">
        <v>0</v>
      </c>
      <c r="BJ75" s="176">
        <v>0</v>
      </c>
      <c r="BK75" s="199">
        <f t="shared" si="148"/>
        <v>0</v>
      </c>
      <c r="BL75" s="203">
        <v>0</v>
      </c>
      <c r="BM75" s="98">
        <v>0</v>
      </c>
      <c r="BN75" s="258">
        <f t="shared" si="149"/>
        <v>715245</v>
      </c>
      <c r="BO75" s="93" t="s">
        <v>4</v>
      </c>
      <c r="BP75" s="91">
        <v>715245</v>
      </c>
      <c r="BQ75" s="38">
        <f t="shared" si="150"/>
        <v>0</v>
      </c>
      <c r="BR75" s="104">
        <f t="shared" si="151"/>
        <v>715245</v>
      </c>
      <c r="BS75" s="203">
        <f t="shared" si="152"/>
        <v>1</v>
      </c>
      <c r="BT75" s="189">
        <v>0</v>
      </c>
      <c r="BU75" s="176">
        <v>0</v>
      </c>
      <c r="BV75" s="199">
        <f t="shared" si="153"/>
        <v>0</v>
      </c>
      <c r="BW75" s="203">
        <v>0</v>
      </c>
      <c r="BX75" s="98">
        <v>0</v>
      </c>
      <c r="BY75" s="258">
        <f t="shared" si="154"/>
        <v>715245</v>
      </c>
      <c r="BZ75" s="93" t="s">
        <v>4</v>
      </c>
      <c r="CA75" s="91">
        <v>715245</v>
      </c>
      <c r="CB75" s="38">
        <f t="shared" si="155"/>
        <v>0</v>
      </c>
      <c r="CC75" s="104">
        <f t="shared" si="156"/>
        <v>715245</v>
      </c>
      <c r="CD75" s="203">
        <f t="shared" si="157"/>
        <v>1</v>
      </c>
      <c r="CE75" s="189">
        <v>0</v>
      </c>
      <c r="CF75" s="176">
        <v>0</v>
      </c>
      <c r="CG75" s="199">
        <f t="shared" si="158"/>
        <v>0</v>
      </c>
      <c r="CH75" s="203">
        <v>0</v>
      </c>
      <c r="CI75" s="98">
        <v>0</v>
      </c>
      <c r="CJ75" s="258">
        <f t="shared" si="159"/>
        <v>715245</v>
      </c>
      <c r="CK75" s="93" t="s">
        <v>4</v>
      </c>
      <c r="CL75" s="91">
        <v>715245</v>
      </c>
      <c r="CM75" s="38">
        <f t="shared" si="160"/>
        <v>0</v>
      </c>
      <c r="CN75" s="104">
        <f t="shared" si="161"/>
        <v>715245</v>
      </c>
      <c r="CO75" s="203">
        <f t="shared" si="162"/>
        <v>1</v>
      </c>
      <c r="CP75" s="189">
        <v>0</v>
      </c>
      <c r="CQ75" s="176">
        <v>0</v>
      </c>
      <c r="CR75" s="199">
        <f t="shared" si="163"/>
        <v>0</v>
      </c>
      <c r="CS75" s="203">
        <v>0</v>
      </c>
      <c r="CT75" s="98">
        <v>0</v>
      </c>
      <c r="CU75" s="258">
        <f t="shared" si="164"/>
        <v>715245</v>
      </c>
      <c r="CV75" s="93" t="s">
        <v>4</v>
      </c>
      <c r="CW75" s="91">
        <v>715245</v>
      </c>
      <c r="CX75" s="38">
        <f t="shared" si="165"/>
        <v>0</v>
      </c>
      <c r="CY75" s="104">
        <f t="shared" si="166"/>
        <v>715245</v>
      </c>
      <c r="CZ75" s="203">
        <f t="shared" si="167"/>
        <v>1</v>
      </c>
      <c r="DA75" s="189">
        <v>0</v>
      </c>
      <c r="DB75" s="176">
        <v>0</v>
      </c>
      <c r="DC75" s="199">
        <f t="shared" si="168"/>
        <v>0</v>
      </c>
      <c r="DD75" s="203">
        <v>0</v>
      </c>
      <c r="DE75" s="98">
        <v>0</v>
      </c>
      <c r="DF75" s="258">
        <f t="shared" si="169"/>
        <v>715245</v>
      </c>
      <c r="DG75" s="93" t="s">
        <v>4</v>
      </c>
      <c r="DH75" s="91">
        <v>715245</v>
      </c>
      <c r="DI75" s="283">
        <f t="shared" si="170"/>
        <v>0</v>
      </c>
      <c r="DJ75" s="104">
        <f t="shared" si="171"/>
        <v>715245</v>
      </c>
      <c r="DK75" s="203">
        <f t="shared" si="172"/>
        <v>1</v>
      </c>
      <c r="DL75" s="189">
        <v>0</v>
      </c>
      <c r="DM75" s="176">
        <v>0</v>
      </c>
      <c r="DN75" s="199">
        <f t="shared" si="173"/>
        <v>0</v>
      </c>
      <c r="DO75" s="203">
        <v>0</v>
      </c>
      <c r="DP75" s="98">
        <v>0</v>
      </c>
      <c r="DQ75" s="258">
        <f t="shared" si="174"/>
        <v>715245</v>
      </c>
    </row>
    <row r="76" spans="1:121" ht="21">
      <c r="A76" s="93" t="s">
        <v>5</v>
      </c>
      <c r="B76" s="91">
        <v>543672.83</v>
      </c>
      <c r="C76" s="38">
        <f t="shared" si="121"/>
        <v>297335.78</v>
      </c>
      <c r="D76" s="104">
        <f t="shared" si="122"/>
        <v>297335.78</v>
      </c>
      <c r="E76" s="203">
        <f>+D76/B76</f>
        <v>0.5469020403318666</v>
      </c>
      <c r="F76" s="189">
        <v>13103.31</v>
      </c>
      <c r="G76" s="176">
        <v>0</v>
      </c>
      <c r="H76" s="199">
        <f t="shared" si="123"/>
        <v>0</v>
      </c>
      <c r="I76" s="203">
        <v>0</v>
      </c>
      <c r="J76" s="98">
        <v>297335.78</v>
      </c>
      <c r="K76" s="85">
        <f t="shared" si="124"/>
        <v>297335.78</v>
      </c>
      <c r="L76" s="93" t="s">
        <v>5</v>
      </c>
      <c r="M76" s="91">
        <v>543672.83</v>
      </c>
      <c r="N76" s="38">
        <f t="shared" si="125"/>
        <v>246337.05</v>
      </c>
      <c r="O76" s="104">
        <f t="shared" si="126"/>
        <v>543672.83</v>
      </c>
      <c r="P76" s="203">
        <f t="shared" si="127"/>
        <v>1</v>
      </c>
      <c r="Q76" s="189">
        <v>13103.31</v>
      </c>
      <c r="R76" s="176">
        <v>4593.28</v>
      </c>
      <c r="S76" s="199">
        <f t="shared" si="128"/>
        <v>4593.28</v>
      </c>
      <c r="T76" s="203">
        <f>+S76/Q76</f>
        <v>0.3505434886299721</v>
      </c>
      <c r="U76" s="98">
        <f>45956.5+17671.05+11609.5+171100+R76</f>
        <v>250930.33</v>
      </c>
      <c r="V76" s="85">
        <f t="shared" si="129"/>
        <v>548266.11</v>
      </c>
      <c r="W76" s="93" t="s">
        <v>5</v>
      </c>
      <c r="X76" s="91">
        <v>543672.83</v>
      </c>
      <c r="Y76" s="38">
        <f t="shared" si="130"/>
        <v>0</v>
      </c>
      <c r="Z76" s="104">
        <f t="shared" si="131"/>
        <v>543672.83</v>
      </c>
      <c r="AA76" s="203">
        <f t="shared" si="132"/>
        <v>1</v>
      </c>
      <c r="AB76" s="189">
        <v>13103.31</v>
      </c>
      <c r="AC76" s="176">
        <v>0</v>
      </c>
      <c r="AD76" s="199">
        <f t="shared" si="133"/>
        <v>4593.28</v>
      </c>
      <c r="AE76" s="203">
        <f>+AD76/AB76</f>
        <v>0.3505434886299721</v>
      </c>
      <c r="AF76" s="98">
        <v>0</v>
      </c>
      <c r="AG76" s="85">
        <f t="shared" si="134"/>
        <v>548266.11</v>
      </c>
      <c r="AH76" s="93" t="s">
        <v>5</v>
      </c>
      <c r="AI76" s="91">
        <f>543672.83+280800</f>
        <v>824472.83</v>
      </c>
      <c r="AJ76" s="38">
        <f t="shared" si="135"/>
        <v>0</v>
      </c>
      <c r="AK76" s="104">
        <f t="shared" si="136"/>
        <v>543672.83</v>
      </c>
      <c r="AL76" s="203">
        <f t="shared" si="137"/>
        <v>0.6594187342716921</v>
      </c>
      <c r="AM76" s="189">
        <v>13103.31</v>
      </c>
      <c r="AN76" s="176">
        <v>0</v>
      </c>
      <c r="AO76" s="199">
        <f t="shared" si="138"/>
        <v>4593.28</v>
      </c>
      <c r="AP76" s="203">
        <f>+AO76/AM76</f>
        <v>0.3505434886299721</v>
      </c>
      <c r="AQ76" s="98">
        <v>0</v>
      </c>
      <c r="AR76" s="85">
        <f t="shared" si="139"/>
        <v>548266.11</v>
      </c>
      <c r="AS76" s="93" t="s">
        <v>5</v>
      </c>
      <c r="AT76" s="91">
        <f>543672.83+280800</f>
        <v>824472.83</v>
      </c>
      <c r="AU76" s="38">
        <f t="shared" si="140"/>
        <v>280800</v>
      </c>
      <c r="AV76" s="104">
        <f t="shared" si="141"/>
        <v>824472.83</v>
      </c>
      <c r="AW76" s="203">
        <f t="shared" si="142"/>
        <v>1</v>
      </c>
      <c r="AX76" s="189">
        <v>13103.31</v>
      </c>
      <c r="AY76" s="176">
        <v>0</v>
      </c>
      <c r="AZ76" s="199">
        <f t="shared" si="143"/>
        <v>4593.28</v>
      </c>
      <c r="BA76" s="203">
        <f>+AZ76/AX76</f>
        <v>0.3505434886299721</v>
      </c>
      <c r="BB76" s="98">
        <v>280800</v>
      </c>
      <c r="BC76" s="258">
        <f t="shared" si="144"/>
        <v>829066.11</v>
      </c>
      <c r="BD76" s="93" t="s">
        <v>5</v>
      </c>
      <c r="BE76" s="91">
        <f>543672.83+280800</f>
        <v>824472.83</v>
      </c>
      <c r="BF76" s="38">
        <f t="shared" si="145"/>
        <v>0</v>
      </c>
      <c r="BG76" s="104">
        <f t="shared" si="146"/>
        <v>824472.83</v>
      </c>
      <c r="BH76" s="203">
        <f t="shared" si="147"/>
        <v>1</v>
      </c>
      <c r="BI76" s="189">
        <v>13103.31</v>
      </c>
      <c r="BJ76" s="176">
        <v>0</v>
      </c>
      <c r="BK76" s="199">
        <f t="shared" si="148"/>
        <v>4593.28</v>
      </c>
      <c r="BL76" s="203">
        <f>+BK76/BI76</f>
        <v>0.3505434886299721</v>
      </c>
      <c r="BM76" s="98">
        <v>0</v>
      </c>
      <c r="BN76" s="258">
        <f t="shared" si="149"/>
        <v>829066.11</v>
      </c>
      <c r="BO76" s="93" t="s">
        <v>5</v>
      </c>
      <c r="BP76" s="91">
        <f>543672.83+280800</f>
        <v>824472.83</v>
      </c>
      <c r="BQ76" s="38">
        <f t="shared" si="150"/>
        <v>0</v>
      </c>
      <c r="BR76" s="104">
        <f t="shared" si="151"/>
        <v>824472.83</v>
      </c>
      <c r="BS76" s="203">
        <f t="shared" si="152"/>
        <v>1</v>
      </c>
      <c r="BT76" s="189">
        <v>13103.31</v>
      </c>
      <c r="BU76" s="176">
        <v>0</v>
      </c>
      <c r="BV76" s="199">
        <f t="shared" si="153"/>
        <v>4593.28</v>
      </c>
      <c r="BW76" s="203">
        <f>+BV76/BT76</f>
        <v>0.3505434886299721</v>
      </c>
      <c r="BX76" s="98">
        <v>0</v>
      </c>
      <c r="BY76" s="258">
        <f t="shared" si="154"/>
        <v>829066.11</v>
      </c>
      <c r="BZ76" s="93" t="s">
        <v>5</v>
      </c>
      <c r="CA76" s="91">
        <f>543672.83+280800</f>
        <v>824472.83</v>
      </c>
      <c r="CB76" s="38">
        <f t="shared" si="155"/>
        <v>0</v>
      </c>
      <c r="CC76" s="104">
        <f t="shared" si="156"/>
        <v>824472.83</v>
      </c>
      <c r="CD76" s="203">
        <f t="shared" si="157"/>
        <v>1</v>
      </c>
      <c r="CE76" s="189">
        <v>13103.31</v>
      </c>
      <c r="CF76" s="176">
        <v>0</v>
      </c>
      <c r="CG76" s="199">
        <f t="shared" si="158"/>
        <v>4593.28</v>
      </c>
      <c r="CH76" s="203">
        <f>+CG76/CE76</f>
        <v>0.3505434886299721</v>
      </c>
      <c r="CI76" s="98">
        <v>0</v>
      </c>
      <c r="CJ76" s="258">
        <f t="shared" si="159"/>
        <v>829066.11</v>
      </c>
      <c r="CK76" s="93" t="s">
        <v>5</v>
      </c>
      <c r="CL76" s="91">
        <f>543672.83+280800</f>
        <v>824472.83</v>
      </c>
      <c r="CM76" s="38">
        <f t="shared" si="160"/>
        <v>0</v>
      </c>
      <c r="CN76" s="104">
        <f t="shared" si="161"/>
        <v>824472.83</v>
      </c>
      <c r="CO76" s="203">
        <f t="shared" si="162"/>
        <v>1</v>
      </c>
      <c r="CP76" s="189">
        <v>13103.31</v>
      </c>
      <c r="CQ76" s="176">
        <v>0</v>
      </c>
      <c r="CR76" s="199">
        <f t="shared" si="163"/>
        <v>4593.28</v>
      </c>
      <c r="CS76" s="203">
        <f>+CR76/CP76</f>
        <v>0.3505434886299721</v>
      </c>
      <c r="CT76" s="98">
        <v>0</v>
      </c>
      <c r="CU76" s="258">
        <f t="shared" si="164"/>
        <v>829066.11</v>
      </c>
      <c r="CV76" s="93" t="s">
        <v>5</v>
      </c>
      <c r="CW76" s="91">
        <f>543672.83+280800</f>
        <v>824472.83</v>
      </c>
      <c r="CX76" s="38">
        <f t="shared" si="165"/>
        <v>0</v>
      </c>
      <c r="CY76" s="104">
        <f t="shared" si="166"/>
        <v>824472.83</v>
      </c>
      <c r="CZ76" s="203">
        <f t="shared" si="167"/>
        <v>1</v>
      </c>
      <c r="DA76" s="189">
        <v>13103.31</v>
      </c>
      <c r="DB76" s="176">
        <v>0</v>
      </c>
      <c r="DC76" s="199">
        <f t="shared" si="168"/>
        <v>4593.28</v>
      </c>
      <c r="DD76" s="203">
        <f>+DC76/DA76</f>
        <v>0.3505434886299721</v>
      </c>
      <c r="DE76" s="98">
        <v>0</v>
      </c>
      <c r="DF76" s="258">
        <f t="shared" si="169"/>
        <v>829066.11</v>
      </c>
      <c r="DG76" s="93" t="s">
        <v>5</v>
      </c>
      <c r="DH76" s="91">
        <f>543672.83+280800</f>
        <v>824472.83</v>
      </c>
      <c r="DI76" s="283">
        <f t="shared" si="170"/>
        <v>0</v>
      </c>
      <c r="DJ76" s="104">
        <f t="shared" si="171"/>
        <v>824472.83</v>
      </c>
      <c r="DK76" s="203">
        <f t="shared" si="172"/>
        <v>1</v>
      </c>
      <c r="DL76" s="189">
        <v>13103.31</v>
      </c>
      <c r="DM76" s="176">
        <v>0</v>
      </c>
      <c r="DN76" s="199">
        <f t="shared" si="173"/>
        <v>4593.28</v>
      </c>
      <c r="DO76" s="203">
        <f>+DN76/DL76</f>
        <v>0.3505434886299721</v>
      </c>
      <c r="DP76" s="98">
        <v>0</v>
      </c>
      <c r="DQ76" s="258">
        <f t="shared" si="174"/>
        <v>829066.11</v>
      </c>
    </row>
    <row r="77" spans="1:121" ht="21">
      <c r="A77" s="93" t="s">
        <v>14</v>
      </c>
      <c r="B77" s="91">
        <v>16050</v>
      </c>
      <c r="C77" s="38">
        <f t="shared" si="121"/>
        <v>16050</v>
      </c>
      <c r="D77" s="104">
        <f t="shared" si="122"/>
        <v>16050</v>
      </c>
      <c r="E77" s="203">
        <f>+D77/B77</f>
        <v>1</v>
      </c>
      <c r="F77" s="189">
        <v>0</v>
      </c>
      <c r="G77" s="176">
        <v>0</v>
      </c>
      <c r="H77" s="199">
        <f t="shared" si="123"/>
        <v>0</v>
      </c>
      <c r="I77" s="203">
        <v>0</v>
      </c>
      <c r="J77" s="98">
        <v>16050</v>
      </c>
      <c r="K77" s="85">
        <f t="shared" si="124"/>
        <v>16050</v>
      </c>
      <c r="L77" s="93" t="s">
        <v>14</v>
      </c>
      <c r="M77" s="91">
        <v>16050</v>
      </c>
      <c r="N77" s="38">
        <f t="shared" si="125"/>
        <v>0</v>
      </c>
      <c r="O77" s="104">
        <f t="shared" si="126"/>
        <v>16050</v>
      </c>
      <c r="P77" s="203">
        <f t="shared" si="127"/>
        <v>1</v>
      </c>
      <c r="Q77" s="189">
        <v>0</v>
      </c>
      <c r="R77" s="176">
        <v>0</v>
      </c>
      <c r="S77" s="199">
        <f t="shared" si="128"/>
        <v>0</v>
      </c>
      <c r="T77" s="203">
        <v>0</v>
      </c>
      <c r="U77" s="98">
        <v>0</v>
      </c>
      <c r="V77" s="85">
        <f t="shared" si="129"/>
        <v>16050</v>
      </c>
      <c r="W77" s="93" t="s">
        <v>14</v>
      </c>
      <c r="X77" s="91">
        <v>16050</v>
      </c>
      <c r="Y77" s="38">
        <f t="shared" si="130"/>
        <v>0</v>
      </c>
      <c r="Z77" s="104">
        <f t="shared" si="131"/>
        <v>16050</v>
      </c>
      <c r="AA77" s="203">
        <f t="shared" si="132"/>
        <v>1</v>
      </c>
      <c r="AB77" s="189">
        <v>0</v>
      </c>
      <c r="AC77" s="176">
        <v>0</v>
      </c>
      <c r="AD77" s="199">
        <f t="shared" si="133"/>
        <v>0</v>
      </c>
      <c r="AE77" s="203">
        <v>0</v>
      </c>
      <c r="AF77" s="98">
        <v>0</v>
      </c>
      <c r="AG77" s="85">
        <f t="shared" si="134"/>
        <v>16050</v>
      </c>
      <c r="AH77" s="93" t="s">
        <v>14</v>
      </c>
      <c r="AI77" s="91">
        <v>16050</v>
      </c>
      <c r="AJ77" s="38">
        <f t="shared" si="135"/>
        <v>0</v>
      </c>
      <c r="AK77" s="104">
        <f t="shared" si="136"/>
        <v>16050</v>
      </c>
      <c r="AL77" s="203">
        <f t="shared" si="137"/>
        <v>1</v>
      </c>
      <c r="AM77" s="189">
        <v>34261.4</v>
      </c>
      <c r="AN77" s="176">
        <v>34261.4</v>
      </c>
      <c r="AO77" s="199">
        <f>+AN77+AD77</f>
        <v>34261.4</v>
      </c>
      <c r="AP77" s="203">
        <v>0</v>
      </c>
      <c r="AQ77" s="98">
        <f>+AN77</f>
        <v>34261.4</v>
      </c>
      <c r="AR77" s="85">
        <f t="shared" si="139"/>
        <v>50311.4</v>
      </c>
      <c r="AS77" s="93" t="s">
        <v>14</v>
      </c>
      <c r="AT77" s="91">
        <v>16050</v>
      </c>
      <c r="AU77" s="38">
        <f t="shared" si="140"/>
        <v>0</v>
      </c>
      <c r="AV77" s="104">
        <f t="shared" si="141"/>
        <v>16050</v>
      </c>
      <c r="AW77" s="203">
        <f t="shared" si="142"/>
        <v>1</v>
      </c>
      <c r="AX77" s="189">
        <v>34261.4</v>
      </c>
      <c r="AY77" s="176">
        <v>0</v>
      </c>
      <c r="AZ77" s="199">
        <f t="shared" si="143"/>
        <v>34261.4</v>
      </c>
      <c r="BA77" s="203">
        <v>0</v>
      </c>
      <c r="BB77" s="98">
        <f>+AY77</f>
        <v>0</v>
      </c>
      <c r="BC77" s="258">
        <f t="shared" si="144"/>
        <v>50311.4</v>
      </c>
      <c r="BD77" s="93" t="s">
        <v>14</v>
      </c>
      <c r="BE77" s="91">
        <v>16050</v>
      </c>
      <c r="BF77" s="38">
        <f t="shared" si="145"/>
        <v>0</v>
      </c>
      <c r="BG77" s="104">
        <f t="shared" si="146"/>
        <v>16050</v>
      </c>
      <c r="BH77" s="203">
        <f t="shared" si="147"/>
        <v>1</v>
      </c>
      <c r="BI77" s="189">
        <v>34261.4</v>
      </c>
      <c r="BJ77" s="176">
        <v>0</v>
      </c>
      <c r="BK77" s="199">
        <f t="shared" si="148"/>
        <v>34261.4</v>
      </c>
      <c r="BL77" s="203">
        <v>0</v>
      </c>
      <c r="BM77" s="98">
        <f>+BJ77</f>
        <v>0</v>
      </c>
      <c r="BN77" s="258">
        <f t="shared" si="149"/>
        <v>50311.4</v>
      </c>
      <c r="BO77" s="93" t="s">
        <v>14</v>
      </c>
      <c r="BP77" s="91">
        <v>16050</v>
      </c>
      <c r="BQ77" s="38">
        <f t="shared" si="150"/>
        <v>0</v>
      </c>
      <c r="BR77" s="104">
        <f t="shared" si="151"/>
        <v>16050</v>
      </c>
      <c r="BS77" s="203">
        <f t="shared" si="152"/>
        <v>1</v>
      </c>
      <c r="BT77" s="189">
        <v>34261.4</v>
      </c>
      <c r="BU77" s="176">
        <v>0</v>
      </c>
      <c r="BV77" s="199">
        <f t="shared" si="153"/>
        <v>34261.4</v>
      </c>
      <c r="BW77" s="203">
        <v>0</v>
      </c>
      <c r="BX77" s="98">
        <f>+BU77</f>
        <v>0</v>
      </c>
      <c r="BY77" s="258">
        <f t="shared" si="154"/>
        <v>50311.4</v>
      </c>
      <c r="BZ77" s="93" t="s">
        <v>14</v>
      </c>
      <c r="CA77" s="91">
        <v>16050</v>
      </c>
      <c r="CB77" s="38">
        <f t="shared" si="155"/>
        <v>0</v>
      </c>
      <c r="CC77" s="104">
        <f t="shared" si="156"/>
        <v>16050</v>
      </c>
      <c r="CD77" s="203">
        <f t="shared" si="157"/>
        <v>1</v>
      </c>
      <c r="CE77" s="189">
        <v>34261.4</v>
      </c>
      <c r="CF77" s="176">
        <v>0</v>
      </c>
      <c r="CG77" s="199">
        <f t="shared" si="158"/>
        <v>34261.4</v>
      </c>
      <c r="CH77" s="203">
        <v>0</v>
      </c>
      <c r="CI77" s="98">
        <f>+CF77</f>
        <v>0</v>
      </c>
      <c r="CJ77" s="258">
        <f t="shared" si="159"/>
        <v>50311.4</v>
      </c>
      <c r="CK77" s="93" t="s">
        <v>14</v>
      </c>
      <c r="CL77" s="91">
        <v>16050</v>
      </c>
      <c r="CM77" s="38">
        <f t="shared" si="160"/>
        <v>0</v>
      </c>
      <c r="CN77" s="104">
        <f t="shared" si="161"/>
        <v>16050</v>
      </c>
      <c r="CO77" s="203">
        <f t="shared" si="162"/>
        <v>1</v>
      </c>
      <c r="CP77" s="189">
        <v>34261.4</v>
      </c>
      <c r="CQ77" s="176">
        <v>0</v>
      </c>
      <c r="CR77" s="199">
        <f t="shared" si="163"/>
        <v>34261.4</v>
      </c>
      <c r="CS77" s="203">
        <v>0</v>
      </c>
      <c r="CT77" s="98">
        <f>+CQ77</f>
        <v>0</v>
      </c>
      <c r="CU77" s="258">
        <f t="shared" si="164"/>
        <v>50311.4</v>
      </c>
      <c r="CV77" s="93" t="s">
        <v>14</v>
      </c>
      <c r="CW77" s="91">
        <v>16050</v>
      </c>
      <c r="CX77" s="38">
        <f t="shared" si="165"/>
        <v>0</v>
      </c>
      <c r="CY77" s="104">
        <f t="shared" si="166"/>
        <v>16050</v>
      </c>
      <c r="CZ77" s="203">
        <f t="shared" si="167"/>
        <v>1</v>
      </c>
      <c r="DA77" s="189">
        <v>34261.4</v>
      </c>
      <c r="DB77" s="176">
        <v>0</v>
      </c>
      <c r="DC77" s="199">
        <f t="shared" si="168"/>
        <v>34261.4</v>
      </c>
      <c r="DD77" s="203">
        <v>0</v>
      </c>
      <c r="DE77" s="98">
        <f>+DB77</f>
        <v>0</v>
      </c>
      <c r="DF77" s="258">
        <f t="shared" si="169"/>
        <v>50311.4</v>
      </c>
      <c r="DG77" s="93" t="s">
        <v>14</v>
      </c>
      <c r="DH77" s="91">
        <v>16050</v>
      </c>
      <c r="DI77" s="283">
        <f t="shared" si="170"/>
        <v>0</v>
      </c>
      <c r="DJ77" s="104">
        <f t="shared" si="171"/>
        <v>16050</v>
      </c>
      <c r="DK77" s="203">
        <f t="shared" si="172"/>
        <v>1</v>
      </c>
      <c r="DL77" s="189">
        <v>34261.4</v>
      </c>
      <c r="DM77" s="176">
        <v>0</v>
      </c>
      <c r="DN77" s="199">
        <f t="shared" si="173"/>
        <v>34261.4</v>
      </c>
      <c r="DO77" s="203">
        <v>0</v>
      </c>
      <c r="DP77" s="98">
        <f>+DM77</f>
        <v>0</v>
      </c>
      <c r="DQ77" s="258">
        <f t="shared" si="174"/>
        <v>50311.4</v>
      </c>
    </row>
    <row r="78" spans="1:121" ht="21">
      <c r="A78" s="93" t="s">
        <v>6</v>
      </c>
      <c r="B78" s="91">
        <v>596900</v>
      </c>
      <c r="C78" s="38">
        <f t="shared" si="121"/>
        <v>0</v>
      </c>
      <c r="D78" s="104">
        <f t="shared" si="122"/>
        <v>0</v>
      </c>
      <c r="E78" s="203">
        <v>0</v>
      </c>
      <c r="F78" s="189">
        <v>858000</v>
      </c>
      <c r="G78" s="176">
        <v>0</v>
      </c>
      <c r="H78" s="199">
        <f t="shared" si="123"/>
        <v>0</v>
      </c>
      <c r="I78" s="203">
        <v>0</v>
      </c>
      <c r="J78" s="98">
        <v>0</v>
      </c>
      <c r="K78" s="85">
        <f t="shared" si="124"/>
        <v>0</v>
      </c>
      <c r="L78" s="93" t="s">
        <v>6</v>
      </c>
      <c r="M78" s="91">
        <v>596900</v>
      </c>
      <c r="N78" s="38">
        <f t="shared" si="125"/>
        <v>110400</v>
      </c>
      <c r="O78" s="104">
        <f t="shared" si="126"/>
        <v>110400</v>
      </c>
      <c r="P78" s="203">
        <f t="shared" si="127"/>
        <v>0.1849556039537611</v>
      </c>
      <c r="Q78" s="189">
        <v>858000</v>
      </c>
      <c r="R78" s="176">
        <v>858000</v>
      </c>
      <c r="S78" s="199">
        <f t="shared" si="128"/>
        <v>858000</v>
      </c>
      <c r="T78" s="203">
        <f>+S78/Q78</f>
        <v>1</v>
      </c>
      <c r="U78" s="98">
        <f>110400+R78</f>
        <v>968400</v>
      </c>
      <c r="V78" s="85">
        <f t="shared" si="129"/>
        <v>968400</v>
      </c>
      <c r="W78" s="93" t="s">
        <v>6</v>
      </c>
      <c r="X78" s="91">
        <v>596900</v>
      </c>
      <c r="Y78" s="38">
        <f t="shared" si="130"/>
        <v>486500</v>
      </c>
      <c r="Z78" s="104">
        <f t="shared" si="131"/>
        <v>596900</v>
      </c>
      <c r="AA78" s="203">
        <f t="shared" si="132"/>
        <v>1</v>
      </c>
      <c r="AB78" s="189">
        <v>858000</v>
      </c>
      <c r="AC78" s="176">
        <v>0</v>
      </c>
      <c r="AD78" s="199">
        <f t="shared" si="133"/>
        <v>858000</v>
      </c>
      <c r="AE78" s="203">
        <f>+AD78/AB78</f>
        <v>1</v>
      </c>
      <c r="AF78" s="98">
        <f>486500+AC78</f>
        <v>486500</v>
      </c>
      <c r="AG78" s="85">
        <f>AF78+V78</f>
        <v>1454900</v>
      </c>
      <c r="AH78" s="93" t="s">
        <v>6</v>
      </c>
      <c r="AI78" s="91">
        <v>596900</v>
      </c>
      <c r="AJ78" s="38">
        <f t="shared" si="135"/>
        <v>0</v>
      </c>
      <c r="AK78" s="104">
        <f t="shared" si="136"/>
        <v>596900</v>
      </c>
      <c r="AL78" s="203">
        <f t="shared" si="137"/>
        <v>1</v>
      </c>
      <c r="AM78" s="189">
        <v>858000</v>
      </c>
      <c r="AN78" s="176">
        <v>0</v>
      </c>
      <c r="AO78" s="199">
        <f t="shared" si="138"/>
        <v>858000</v>
      </c>
      <c r="AP78" s="203">
        <f>+AO78/AM78</f>
        <v>1</v>
      </c>
      <c r="AQ78" s="98">
        <v>0</v>
      </c>
      <c r="AR78" s="85">
        <f t="shared" si="139"/>
        <v>1454900</v>
      </c>
      <c r="AS78" s="93" t="s">
        <v>6</v>
      </c>
      <c r="AT78" s="91">
        <v>596900</v>
      </c>
      <c r="AU78" s="38">
        <f t="shared" si="140"/>
        <v>0</v>
      </c>
      <c r="AV78" s="104">
        <f t="shared" si="141"/>
        <v>596900</v>
      </c>
      <c r="AW78" s="203">
        <f t="shared" si="142"/>
        <v>1</v>
      </c>
      <c r="AX78" s="189">
        <v>858000</v>
      </c>
      <c r="AY78" s="176">
        <v>0</v>
      </c>
      <c r="AZ78" s="199">
        <f t="shared" si="143"/>
        <v>858000</v>
      </c>
      <c r="BA78" s="203">
        <f>+AZ78/AX78</f>
        <v>1</v>
      </c>
      <c r="BB78" s="98">
        <v>0</v>
      </c>
      <c r="BC78" s="258">
        <f t="shared" si="144"/>
        <v>1454900</v>
      </c>
      <c r="BD78" s="93" t="s">
        <v>6</v>
      </c>
      <c r="BE78" s="91">
        <v>596900</v>
      </c>
      <c r="BF78" s="38">
        <f t="shared" si="145"/>
        <v>0</v>
      </c>
      <c r="BG78" s="104">
        <f t="shared" si="146"/>
        <v>596900</v>
      </c>
      <c r="BH78" s="203">
        <f t="shared" si="147"/>
        <v>1</v>
      </c>
      <c r="BI78" s="189">
        <v>858000</v>
      </c>
      <c r="BJ78" s="176">
        <v>0</v>
      </c>
      <c r="BK78" s="199">
        <f t="shared" si="148"/>
        <v>858000</v>
      </c>
      <c r="BL78" s="203">
        <f>+BK78/BI78</f>
        <v>1</v>
      </c>
      <c r="BM78" s="98">
        <v>0</v>
      </c>
      <c r="BN78" s="258">
        <f t="shared" si="149"/>
        <v>1454900</v>
      </c>
      <c r="BO78" s="93" t="s">
        <v>6</v>
      </c>
      <c r="BP78" s="91">
        <v>596900</v>
      </c>
      <c r="BQ78" s="38">
        <f t="shared" si="150"/>
        <v>0</v>
      </c>
      <c r="BR78" s="104">
        <f t="shared" si="151"/>
        <v>596900</v>
      </c>
      <c r="BS78" s="203">
        <f t="shared" si="152"/>
        <v>1</v>
      </c>
      <c r="BT78" s="189">
        <v>858000</v>
      </c>
      <c r="BU78" s="176">
        <v>0</v>
      </c>
      <c r="BV78" s="199">
        <f t="shared" si="153"/>
        <v>858000</v>
      </c>
      <c r="BW78" s="203">
        <f>+BV78/BT78</f>
        <v>1</v>
      </c>
      <c r="BX78" s="98">
        <v>0</v>
      </c>
      <c r="BY78" s="258">
        <f t="shared" si="154"/>
        <v>1454900</v>
      </c>
      <c r="BZ78" s="93" t="s">
        <v>6</v>
      </c>
      <c r="CA78" s="91">
        <v>596900</v>
      </c>
      <c r="CB78" s="38">
        <f t="shared" si="155"/>
        <v>0</v>
      </c>
      <c r="CC78" s="104">
        <f t="shared" si="156"/>
        <v>596900</v>
      </c>
      <c r="CD78" s="203">
        <f t="shared" si="157"/>
        <v>1</v>
      </c>
      <c r="CE78" s="189">
        <v>858000</v>
      </c>
      <c r="CF78" s="176">
        <v>0</v>
      </c>
      <c r="CG78" s="199">
        <f t="shared" si="158"/>
        <v>858000</v>
      </c>
      <c r="CH78" s="203">
        <f>+CG78/CE78</f>
        <v>1</v>
      </c>
      <c r="CI78" s="98">
        <v>0</v>
      </c>
      <c r="CJ78" s="258">
        <f t="shared" si="159"/>
        <v>1454900</v>
      </c>
      <c r="CK78" s="93" t="s">
        <v>6</v>
      </c>
      <c r="CL78" s="91">
        <v>596900</v>
      </c>
      <c r="CM78" s="38">
        <f t="shared" si="160"/>
        <v>0</v>
      </c>
      <c r="CN78" s="104">
        <f t="shared" si="161"/>
        <v>596900</v>
      </c>
      <c r="CO78" s="203">
        <f t="shared" si="162"/>
        <v>1</v>
      </c>
      <c r="CP78" s="189">
        <v>858000</v>
      </c>
      <c r="CQ78" s="176">
        <v>0</v>
      </c>
      <c r="CR78" s="199">
        <f t="shared" si="163"/>
        <v>858000</v>
      </c>
      <c r="CS78" s="203">
        <f>+CR78/CP78</f>
        <v>1</v>
      </c>
      <c r="CT78" s="98">
        <v>0</v>
      </c>
      <c r="CU78" s="258">
        <f t="shared" si="164"/>
        <v>1454900</v>
      </c>
      <c r="CV78" s="93" t="s">
        <v>6</v>
      </c>
      <c r="CW78" s="91">
        <v>596900</v>
      </c>
      <c r="CX78" s="38">
        <f t="shared" si="165"/>
        <v>0</v>
      </c>
      <c r="CY78" s="104">
        <f t="shared" si="166"/>
        <v>596900</v>
      </c>
      <c r="CZ78" s="203">
        <f t="shared" si="167"/>
        <v>1</v>
      </c>
      <c r="DA78" s="189">
        <v>858000</v>
      </c>
      <c r="DB78" s="176">
        <v>0</v>
      </c>
      <c r="DC78" s="199">
        <f t="shared" si="168"/>
        <v>858000</v>
      </c>
      <c r="DD78" s="203">
        <f>+DC78/DA78</f>
        <v>1</v>
      </c>
      <c r="DE78" s="98">
        <v>0</v>
      </c>
      <c r="DF78" s="258">
        <f t="shared" si="169"/>
        <v>1454900</v>
      </c>
      <c r="DG78" s="93" t="s">
        <v>6</v>
      </c>
      <c r="DH78" s="91">
        <v>596900</v>
      </c>
      <c r="DI78" s="283">
        <f t="shared" si="170"/>
        <v>0</v>
      </c>
      <c r="DJ78" s="104">
        <f t="shared" si="171"/>
        <v>596900</v>
      </c>
      <c r="DK78" s="203">
        <f t="shared" si="172"/>
        <v>1</v>
      </c>
      <c r="DL78" s="189">
        <v>858000</v>
      </c>
      <c r="DM78" s="176">
        <v>0</v>
      </c>
      <c r="DN78" s="199">
        <f t="shared" si="173"/>
        <v>858000</v>
      </c>
      <c r="DO78" s="203">
        <f>+DN78/DL78</f>
        <v>1</v>
      </c>
      <c r="DP78" s="98">
        <v>0</v>
      </c>
      <c r="DQ78" s="258">
        <f t="shared" si="174"/>
        <v>1454900</v>
      </c>
    </row>
    <row r="79" spans="1:121" ht="21">
      <c r="A79" s="94" t="s">
        <v>130</v>
      </c>
      <c r="B79" s="105">
        <v>1972400</v>
      </c>
      <c r="C79" s="40">
        <f t="shared" si="121"/>
        <v>177000</v>
      </c>
      <c r="D79" s="106">
        <f t="shared" si="122"/>
        <v>177000</v>
      </c>
      <c r="E79" s="205">
        <f>+D79/B79</f>
        <v>0.0897383897789495</v>
      </c>
      <c r="F79" s="190">
        <v>0</v>
      </c>
      <c r="G79" s="191">
        <v>0</v>
      </c>
      <c r="H79" s="200">
        <f t="shared" si="123"/>
        <v>0</v>
      </c>
      <c r="I79" s="203">
        <v>0</v>
      </c>
      <c r="J79" s="99">
        <v>177000</v>
      </c>
      <c r="K79" s="106">
        <f t="shared" si="124"/>
        <v>177000</v>
      </c>
      <c r="L79" s="94" t="s">
        <v>130</v>
      </c>
      <c r="M79" s="105">
        <v>1972400</v>
      </c>
      <c r="N79" s="40">
        <f t="shared" si="125"/>
        <v>1305400</v>
      </c>
      <c r="O79" s="106">
        <f t="shared" si="126"/>
        <v>1482400</v>
      </c>
      <c r="P79" s="205">
        <f t="shared" si="127"/>
        <v>0.7515716893125127</v>
      </c>
      <c r="Q79" s="190">
        <v>0</v>
      </c>
      <c r="R79" s="191">
        <v>0</v>
      </c>
      <c r="S79" s="200">
        <f t="shared" si="128"/>
        <v>0</v>
      </c>
      <c r="T79" s="203">
        <v>0</v>
      </c>
      <c r="U79" s="99">
        <f>235000+408000+662400</f>
        <v>1305400</v>
      </c>
      <c r="V79" s="85">
        <f t="shared" si="129"/>
        <v>1482400</v>
      </c>
      <c r="W79" s="94" t="s">
        <v>130</v>
      </c>
      <c r="X79" s="105">
        <v>1972400</v>
      </c>
      <c r="Y79" s="40">
        <f t="shared" si="130"/>
        <v>490000</v>
      </c>
      <c r="Z79" s="106">
        <f t="shared" si="131"/>
        <v>1972400</v>
      </c>
      <c r="AA79" s="205">
        <f t="shared" si="132"/>
        <v>1</v>
      </c>
      <c r="AB79" s="190">
        <v>0</v>
      </c>
      <c r="AC79" s="191">
        <v>0</v>
      </c>
      <c r="AD79" s="199">
        <f t="shared" si="133"/>
        <v>0</v>
      </c>
      <c r="AE79" s="203">
        <v>0</v>
      </c>
      <c r="AF79" s="99">
        <v>490000</v>
      </c>
      <c r="AG79" s="85">
        <f t="shared" si="134"/>
        <v>1972400</v>
      </c>
      <c r="AH79" s="94" t="s">
        <v>130</v>
      </c>
      <c r="AI79" s="105">
        <v>1972400</v>
      </c>
      <c r="AJ79" s="40">
        <f t="shared" si="135"/>
        <v>0</v>
      </c>
      <c r="AK79" s="106">
        <f t="shared" si="136"/>
        <v>1972400</v>
      </c>
      <c r="AL79" s="205">
        <f t="shared" si="137"/>
        <v>1</v>
      </c>
      <c r="AM79" s="190">
        <v>0</v>
      </c>
      <c r="AN79" s="191">
        <v>0</v>
      </c>
      <c r="AO79" s="200">
        <f t="shared" si="138"/>
        <v>0</v>
      </c>
      <c r="AP79" s="203">
        <v>0</v>
      </c>
      <c r="AQ79" s="99">
        <v>0</v>
      </c>
      <c r="AR79" s="85">
        <f t="shared" si="139"/>
        <v>1972400</v>
      </c>
      <c r="AS79" s="94" t="s">
        <v>130</v>
      </c>
      <c r="AT79" s="105">
        <v>1972400</v>
      </c>
      <c r="AU79" s="40">
        <f t="shared" si="140"/>
        <v>0</v>
      </c>
      <c r="AV79" s="106">
        <f t="shared" si="141"/>
        <v>1972400</v>
      </c>
      <c r="AW79" s="205">
        <f t="shared" si="142"/>
        <v>1</v>
      </c>
      <c r="AX79" s="190">
        <v>0</v>
      </c>
      <c r="AY79" s="191">
        <v>0</v>
      </c>
      <c r="AZ79" s="200">
        <f t="shared" si="143"/>
        <v>0</v>
      </c>
      <c r="BA79" s="203">
        <v>0</v>
      </c>
      <c r="BB79" s="99">
        <v>0</v>
      </c>
      <c r="BC79" s="258">
        <f t="shared" si="144"/>
        <v>1972400</v>
      </c>
      <c r="BD79" s="94" t="s">
        <v>130</v>
      </c>
      <c r="BE79" s="105">
        <v>1972400</v>
      </c>
      <c r="BF79" s="40">
        <f t="shared" si="145"/>
        <v>0</v>
      </c>
      <c r="BG79" s="106">
        <f t="shared" si="146"/>
        <v>1972400</v>
      </c>
      <c r="BH79" s="205">
        <f t="shared" si="147"/>
        <v>1</v>
      </c>
      <c r="BI79" s="190">
        <v>0</v>
      </c>
      <c r="BJ79" s="191">
        <v>0</v>
      </c>
      <c r="BK79" s="200">
        <f t="shared" si="148"/>
        <v>0</v>
      </c>
      <c r="BL79" s="203">
        <v>0</v>
      </c>
      <c r="BM79" s="99">
        <v>0</v>
      </c>
      <c r="BN79" s="258">
        <f t="shared" si="149"/>
        <v>1972400</v>
      </c>
      <c r="BO79" s="94" t="s">
        <v>130</v>
      </c>
      <c r="BP79" s="105">
        <v>1972400</v>
      </c>
      <c r="BQ79" s="40">
        <f t="shared" si="150"/>
        <v>0</v>
      </c>
      <c r="BR79" s="106">
        <f t="shared" si="151"/>
        <v>1972400</v>
      </c>
      <c r="BS79" s="205">
        <f t="shared" si="152"/>
        <v>1</v>
      </c>
      <c r="BT79" s="190">
        <v>0</v>
      </c>
      <c r="BU79" s="191">
        <v>0</v>
      </c>
      <c r="BV79" s="200">
        <f t="shared" si="153"/>
        <v>0</v>
      </c>
      <c r="BW79" s="203">
        <v>0</v>
      </c>
      <c r="BX79" s="99">
        <v>0</v>
      </c>
      <c r="BY79" s="258">
        <f t="shared" si="154"/>
        <v>1972400</v>
      </c>
      <c r="BZ79" s="94" t="s">
        <v>130</v>
      </c>
      <c r="CA79" s="105">
        <v>1972400</v>
      </c>
      <c r="CB79" s="40">
        <f t="shared" si="155"/>
        <v>0</v>
      </c>
      <c r="CC79" s="106">
        <f t="shared" si="156"/>
        <v>1972400</v>
      </c>
      <c r="CD79" s="205">
        <f t="shared" si="157"/>
        <v>1</v>
      </c>
      <c r="CE79" s="190">
        <v>0</v>
      </c>
      <c r="CF79" s="191">
        <v>0</v>
      </c>
      <c r="CG79" s="200">
        <f t="shared" si="158"/>
        <v>0</v>
      </c>
      <c r="CH79" s="203">
        <v>0</v>
      </c>
      <c r="CI79" s="99">
        <v>0</v>
      </c>
      <c r="CJ79" s="258">
        <f t="shared" si="159"/>
        <v>1972400</v>
      </c>
      <c r="CK79" s="94" t="s">
        <v>130</v>
      </c>
      <c r="CL79" s="105">
        <v>1972400</v>
      </c>
      <c r="CM79" s="40">
        <f t="shared" si="160"/>
        <v>0</v>
      </c>
      <c r="CN79" s="106">
        <f t="shared" si="161"/>
        <v>1972400</v>
      </c>
      <c r="CO79" s="205">
        <f t="shared" si="162"/>
        <v>1</v>
      </c>
      <c r="CP79" s="190">
        <v>0</v>
      </c>
      <c r="CQ79" s="191">
        <v>0</v>
      </c>
      <c r="CR79" s="200">
        <f t="shared" si="163"/>
        <v>0</v>
      </c>
      <c r="CS79" s="203">
        <v>0</v>
      </c>
      <c r="CT79" s="99">
        <v>0</v>
      </c>
      <c r="CU79" s="258">
        <f t="shared" si="164"/>
        <v>1972400</v>
      </c>
      <c r="CV79" s="94" t="s">
        <v>130</v>
      </c>
      <c r="CW79" s="105">
        <v>1972400</v>
      </c>
      <c r="CX79" s="40">
        <f t="shared" si="165"/>
        <v>0</v>
      </c>
      <c r="CY79" s="106">
        <f t="shared" si="166"/>
        <v>1972400</v>
      </c>
      <c r="CZ79" s="205">
        <f t="shared" si="167"/>
        <v>1</v>
      </c>
      <c r="DA79" s="190">
        <v>0</v>
      </c>
      <c r="DB79" s="191">
        <v>0</v>
      </c>
      <c r="DC79" s="200">
        <f t="shared" si="168"/>
        <v>0</v>
      </c>
      <c r="DD79" s="203">
        <v>0</v>
      </c>
      <c r="DE79" s="99">
        <v>0</v>
      </c>
      <c r="DF79" s="258">
        <f t="shared" si="169"/>
        <v>1972400</v>
      </c>
      <c r="DG79" s="94" t="s">
        <v>130</v>
      </c>
      <c r="DH79" s="105">
        <v>1972400</v>
      </c>
      <c r="DI79" s="293">
        <f t="shared" si="170"/>
        <v>0</v>
      </c>
      <c r="DJ79" s="106">
        <f t="shared" si="171"/>
        <v>1972400</v>
      </c>
      <c r="DK79" s="205">
        <f t="shared" si="172"/>
        <v>1</v>
      </c>
      <c r="DL79" s="190">
        <v>0</v>
      </c>
      <c r="DM79" s="191">
        <v>0</v>
      </c>
      <c r="DN79" s="200">
        <f t="shared" si="173"/>
        <v>0</v>
      </c>
      <c r="DO79" s="203">
        <v>0</v>
      </c>
      <c r="DP79" s="99">
        <v>0</v>
      </c>
      <c r="DQ79" s="258">
        <f t="shared" si="174"/>
        <v>1972400</v>
      </c>
    </row>
    <row r="80" spans="1:121" ht="21">
      <c r="A80" s="224" t="s">
        <v>127</v>
      </c>
      <c r="B80" s="240">
        <f>SUM(B74:B79)</f>
        <v>4756082.83</v>
      </c>
      <c r="C80" s="233">
        <f>SUM(C74:C79)</f>
        <v>1839611.78</v>
      </c>
      <c r="D80" s="100">
        <f>SUM(D74:D79)</f>
        <v>1839611.78</v>
      </c>
      <c r="E80" s="205">
        <f>+D80/B80</f>
        <v>0.38679136713016415</v>
      </c>
      <c r="F80" s="192">
        <f>SUM(F74:F79)</f>
        <v>905364.71</v>
      </c>
      <c r="G80" s="193">
        <f>SUM(G74:G79)</f>
        <v>0</v>
      </c>
      <c r="H80" s="202">
        <f>SUM(H74:H79)</f>
        <v>0</v>
      </c>
      <c r="I80" s="238">
        <f>+H80/F80</f>
        <v>0</v>
      </c>
      <c r="J80" s="100">
        <f>SUM(J74:J79)</f>
        <v>1839611.78</v>
      </c>
      <c r="K80" s="234">
        <f>SUM(K74:K79)</f>
        <v>1839611.78</v>
      </c>
      <c r="L80" s="224" t="s">
        <v>127</v>
      </c>
      <c r="M80" s="240">
        <f>SUM(M74:M79)</f>
        <v>4756082.83</v>
      </c>
      <c r="N80" s="233">
        <f>SUM(N74:N79)</f>
        <v>1939971.05</v>
      </c>
      <c r="O80" s="100">
        <f>SUM(O74:O79)</f>
        <v>3779582.83</v>
      </c>
      <c r="P80" s="205">
        <f t="shared" si="127"/>
        <v>0.7946839794629902</v>
      </c>
      <c r="Q80" s="192">
        <f>SUM(Q74:Q79)</f>
        <v>905364.71</v>
      </c>
      <c r="R80" s="193">
        <f>SUM(R74:R79)</f>
        <v>862593.28</v>
      </c>
      <c r="S80" s="202">
        <f>SUM(S74:S79)</f>
        <v>862593.28</v>
      </c>
      <c r="T80" s="238">
        <f>+S80/Q80</f>
        <v>0.9527577897309473</v>
      </c>
      <c r="U80" s="100">
        <f>SUM(U74:U79)</f>
        <v>2802564.33</v>
      </c>
      <c r="V80" s="234">
        <f>SUM(V74:V79)</f>
        <v>4642176.109999999</v>
      </c>
      <c r="W80" s="224" t="s">
        <v>127</v>
      </c>
      <c r="X80" s="240">
        <f>SUM(X74:X79)</f>
        <v>4756082.83</v>
      </c>
      <c r="Y80" s="233">
        <f>SUM(Y74:Y79)</f>
        <v>976500</v>
      </c>
      <c r="Z80" s="100">
        <f>SUM(Z74:Z79)</f>
        <v>4756082.83</v>
      </c>
      <c r="AA80" s="205">
        <f t="shared" si="132"/>
        <v>1</v>
      </c>
      <c r="AB80" s="192">
        <f>SUM(AB74:AB79)</f>
        <v>905364.71</v>
      </c>
      <c r="AC80" s="193">
        <f>SUM(AC74:AC79)</f>
        <v>0</v>
      </c>
      <c r="AD80" s="202">
        <f>SUM(AD74:AD79)</f>
        <v>862593.28</v>
      </c>
      <c r="AE80" s="238">
        <f>+AD80/AB80</f>
        <v>0.9527577897309473</v>
      </c>
      <c r="AF80" s="100">
        <f>SUM(AF74:AF79)</f>
        <v>976500</v>
      </c>
      <c r="AG80" s="234">
        <f>SUM(AG74:AG79)</f>
        <v>5618676.109999999</v>
      </c>
      <c r="AH80" s="224" t="s">
        <v>127</v>
      </c>
      <c r="AI80" s="240">
        <f>SUM(AI74:AI79)</f>
        <v>5036882.83</v>
      </c>
      <c r="AJ80" s="233">
        <f>SUM(AJ74:AJ79)</f>
        <v>0</v>
      </c>
      <c r="AK80" s="100">
        <f>SUM(AK74:AK79)</f>
        <v>4756082.83</v>
      </c>
      <c r="AL80" s="205">
        <f t="shared" si="137"/>
        <v>0.9442512344485091</v>
      </c>
      <c r="AM80" s="192">
        <f>SUM(AM74:AM79)</f>
        <v>905364.71</v>
      </c>
      <c r="AN80" s="193">
        <f>SUM(AN74:AN79)</f>
        <v>34261.4</v>
      </c>
      <c r="AO80" s="202">
        <f>SUM(AO74:AO79)</f>
        <v>896854.68</v>
      </c>
      <c r="AP80" s="238">
        <f>+AO80/AM80</f>
        <v>0.990600439904489</v>
      </c>
      <c r="AQ80" s="100">
        <f>SUM(AQ74:AQ79)</f>
        <v>34261.4</v>
      </c>
      <c r="AR80" s="234">
        <f>SUM(AR74:AR79)</f>
        <v>5652937.51</v>
      </c>
      <c r="AS80" s="224" t="s">
        <v>127</v>
      </c>
      <c r="AT80" s="240">
        <f>SUM(AT74:AT79)</f>
        <v>5036882.83</v>
      </c>
      <c r="AU80" s="233">
        <f>SUM(AU74:AU79)</f>
        <v>280800</v>
      </c>
      <c r="AV80" s="100">
        <f>SUM(AV74:AV79)</f>
        <v>5036882.83</v>
      </c>
      <c r="AW80" s="205">
        <f t="shared" si="142"/>
        <v>1</v>
      </c>
      <c r="AX80" s="192">
        <f>SUM(AX74:AX79)</f>
        <v>905364.71</v>
      </c>
      <c r="AY80" s="193">
        <f>SUM(AY74:AY79)</f>
        <v>0</v>
      </c>
      <c r="AZ80" s="202">
        <f>SUM(AZ74:AZ79)</f>
        <v>896854.68</v>
      </c>
      <c r="BA80" s="238">
        <f>+AZ80/AX80</f>
        <v>0.990600439904489</v>
      </c>
      <c r="BB80" s="100">
        <f>SUM(BB74:BB79)</f>
        <v>280800</v>
      </c>
      <c r="BC80" s="267">
        <f>SUM(BC74:BC79)</f>
        <v>5933737.51</v>
      </c>
      <c r="BD80" s="224" t="s">
        <v>127</v>
      </c>
      <c r="BE80" s="240">
        <f>SUM(BE74:BE79)</f>
        <v>5036882.83</v>
      </c>
      <c r="BF80" s="233">
        <f>SUM(BF74:BF79)</f>
        <v>0</v>
      </c>
      <c r="BG80" s="100">
        <f>SUM(BG74:BG79)</f>
        <v>5036882.83</v>
      </c>
      <c r="BH80" s="205">
        <f t="shared" si="147"/>
        <v>1</v>
      </c>
      <c r="BI80" s="192">
        <f>SUM(BI74:BI79)</f>
        <v>905364.71</v>
      </c>
      <c r="BJ80" s="193">
        <f>SUM(BJ74:BJ79)</f>
        <v>0</v>
      </c>
      <c r="BK80" s="202">
        <f>SUM(BK74:BK79)</f>
        <v>896854.68</v>
      </c>
      <c r="BL80" s="238">
        <f>+BK80/BI80</f>
        <v>0.990600439904489</v>
      </c>
      <c r="BM80" s="100">
        <f>SUM(BM74:BM79)</f>
        <v>0</v>
      </c>
      <c r="BN80" s="267">
        <f>SUM(BN74:BN79)</f>
        <v>5933737.51</v>
      </c>
      <c r="BO80" s="224" t="s">
        <v>127</v>
      </c>
      <c r="BP80" s="240">
        <f>SUM(BP74:BP79)</f>
        <v>5036882.83</v>
      </c>
      <c r="BQ80" s="233">
        <f>SUM(BQ74:BQ79)</f>
        <v>0</v>
      </c>
      <c r="BR80" s="100">
        <f>SUM(BR74:BR79)</f>
        <v>5036882.83</v>
      </c>
      <c r="BS80" s="205">
        <f t="shared" si="152"/>
        <v>1</v>
      </c>
      <c r="BT80" s="192">
        <f>SUM(BT74:BT79)</f>
        <v>905364.71</v>
      </c>
      <c r="BU80" s="193">
        <f>SUM(BU74:BU79)</f>
        <v>0</v>
      </c>
      <c r="BV80" s="202">
        <f>SUM(BV74:BV79)</f>
        <v>896854.68</v>
      </c>
      <c r="BW80" s="238">
        <f>+BV80/BT80</f>
        <v>0.990600439904489</v>
      </c>
      <c r="BX80" s="100">
        <f>SUM(BX74:BX79)</f>
        <v>0</v>
      </c>
      <c r="BY80" s="267">
        <f>SUM(BY74:BY79)</f>
        <v>5933737.51</v>
      </c>
      <c r="BZ80" s="224" t="s">
        <v>127</v>
      </c>
      <c r="CA80" s="240">
        <f>SUM(CA74:CA79)</f>
        <v>5036882.83</v>
      </c>
      <c r="CB80" s="233">
        <f>SUM(CB74:CB79)</f>
        <v>0</v>
      </c>
      <c r="CC80" s="100">
        <f>SUM(CC74:CC79)</f>
        <v>5036882.83</v>
      </c>
      <c r="CD80" s="205">
        <f t="shared" si="157"/>
        <v>1</v>
      </c>
      <c r="CE80" s="192">
        <f>SUM(CE74:CE79)</f>
        <v>905364.71</v>
      </c>
      <c r="CF80" s="193">
        <f>SUM(CF74:CF79)</f>
        <v>0</v>
      </c>
      <c r="CG80" s="202">
        <f>SUM(CG74:CG79)</f>
        <v>896854.68</v>
      </c>
      <c r="CH80" s="238">
        <f>+CG80/CE80</f>
        <v>0.990600439904489</v>
      </c>
      <c r="CI80" s="100">
        <f>SUM(CI74:CI79)</f>
        <v>0</v>
      </c>
      <c r="CJ80" s="267">
        <f>SUM(CJ74:CJ79)</f>
        <v>5933737.51</v>
      </c>
      <c r="CK80" s="224" t="s">
        <v>127</v>
      </c>
      <c r="CL80" s="240">
        <f>SUM(CL74:CL79)</f>
        <v>5036882.83</v>
      </c>
      <c r="CM80" s="233">
        <f>SUM(CM74:CM79)</f>
        <v>0</v>
      </c>
      <c r="CN80" s="100">
        <f>SUM(CN74:CN79)</f>
        <v>5036882.83</v>
      </c>
      <c r="CO80" s="205">
        <f t="shared" si="162"/>
        <v>1</v>
      </c>
      <c r="CP80" s="192">
        <f>SUM(CP74:CP79)</f>
        <v>905364.71</v>
      </c>
      <c r="CQ80" s="193">
        <f>SUM(CQ74:CQ79)</f>
        <v>0</v>
      </c>
      <c r="CR80" s="202">
        <f>SUM(CR74:CR79)</f>
        <v>896854.68</v>
      </c>
      <c r="CS80" s="238">
        <f>+CR80/CP80</f>
        <v>0.990600439904489</v>
      </c>
      <c r="CT80" s="100">
        <f>SUM(CT74:CT79)</f>
        <v>0</v>
      </c>
      <c r="CU80" s="267">
        <f>SUM(CU74:CU79)</f>
        <v>5933737.51</v>
      </c>
      <c r="CV80" s="224" t="s">
        <v>127</v>
      </c>
      <c r="CW80" s="240">
        <f>SUM(CW74:CW79)</f>
        <v>5036882.83</v>
      </c>
      <c r="CX80" s="233">
        <f>SUM(CX74:CX79)</f>
        <v>0</v>
      </c>
      <c r="CY80" s="100">
        <f>SUM(CY74:CY79)</f>
        <v>5036882.83</v>
      </c>
      <c r="CZ80" s="205">
        <f t="shared" si="167"/>
        <v>1</v>
      </c>
      <c r="DA80" s="192">
        <f>SUM(DA74:DA79)</f>
        <v>905364.71</v>
      </c>
      <c r="DB80" s="193">
        <f>SUM(DB74:DB79)</f>
        <v>0</v>
      </c>
      <c r="DC80" s="202">
        <f>SUM(DC74:DC79)</f>
        <v>896854.68</v>
      </c>
      <c r="DD80" s="238">
        <f>+DC80/DA80</f>
        <v>0.990600439904489</v>
      </c>
      <c r="DE80" s="100">
        <f>SUM(DE74:DE79)</f>
        <v>0</v>
      </c>
      <c r="DF80" s="267">
        <f>SUM(DF74:DF79)</f>
        <v>5933737.51</v>
      </c>
      <c r="DG80" s="224" t="s">
        <v>127</v>
      </c>
      <c r="DH80" s="240">
        <f>SUM(DH74:DH79)</f>
        <v>5036882.83</v>
      </c>
      <c r="DI80" s="291">
        <f>SUM(DI74:DI79)</f>
        <v>0</v>
      </c>
      <c r="DJ80" s="100">
        <f>SUM(DJ74:DJ79)</f>
        <v>5036882.83</v>
      </c>
      <c r="DK80" s="205">
        <f t="shared" si="172"/>
        <v>1</v>
      </c>
      <c r="DL80" s="192">
        <f>SUM(DL74:DL79)</f>
        <v>905364.71</v>
      </c>
      <c r="DM80" s="193">
        <f>SUM(DM74:DM79)</f>
        <v>0</v>
      </c>
      <c r="DN80" s="202">
        <f>SUM(DN74:DN79)</f>
        <v>896854.68</v>
      </c>
      <c r="DO80" s="238">
        <f>+DN80/DL80</f>
        <v>0.990600439904489</v>
      </c>
      <c r="DP80" s="100">
        <f>SUM(DP74:DP79)</f>
        <v>0</v>
      </c>
      <c r="DQ80" s="267">
        <f>SUM(DQ74:DQ79)</f>
        <v>5933737.51</v>
      </c>
    </row>
    <row r="81" spans="1:121" s="21" customFormat="1" ht="21">
      <c r="A81" s="26" t="s">
        <v>129</v>
      </c>
      <c r="B81" s="107">
        <f>+B72+B80</f>
        <v>144756082.83</v>
      </c>
      <c r="C81" s="39">
        <f>+C72+C80</f>
        <v>4615126.08</v>
      </c>
      <c r="D81" s="39">
        <f>+D72+D80</f>
        <v>4615126.08</v>
      </c>
      <c r="E81" s="111">
        <f>+D81/B81</f>
        <v>0.03188208736913636</v>
      </c>
      <c r="F81" s="192">
        <f>+F72+F80</f>
        <v>7186234.71</v>
      </c>
      <c r="G81" s="193">
        <f>+G72+G80</f>
        <v>0</v>
      </c>
      <c r="H81" s="202">
        <f>+H72+H80</f>
        <v>0</v>
      </c>
      <c r="I81" s="194">
        <f>+H81/F81</f>
        <v>0</v>
      </c>
      <c r="J81" s="100">
        <f>+J72+J80</f>
        <v>4615126.08</v>
      </c>
      <c r="K81" s="108">
        <f>+K72+K80</f>
        <v>4615126.08</v>
      </c>
      <c r="L81" s="26" t="s">
        <v>129</v>
      </c>
      <c r="M81" s="107">
        <f>+M72+M80</f>
        <v>144756082.83</v>
      </c>
      <c r="N81" s="39">
        <f>+N72+N80</f>
        <v>4762659.78</v>
      </c>
      <c r="O81" s="39">
        <f>+O72+O80</f>
        <v>9377785.86</v>
      </c>
      <c r="P81" s="111">
        <f t="shared" si="127"/>
        <v>0.06478336299700214</v>
      </c>
      <c r="Q81" s="192">
        <f>+Q72+Q80</f>
        <v>7186234.71</v>
      </c>
      <c r="R81" s="193">
        <f>+R72+R80</f>
        <v>862593.28</v>
      </c>
      <c r="S81" s="202">
        <f>+S72+S80</f>
        <v>862593.28</v>
      </c>
      <c r="T81" s="194">
        <f>+S81/Q81</f>
        <v>0.12003410893324414</v>
      </c>
      <c r="U81" s="100">
        <f>+U72+U80</f>
        <v>5625253.0600000005</v>
      </c>
      <c r="V81" s="108">
        <f>+V72+V80</f>
        <v>10240379.14</v>
      </c>
      <c r="W81" s="26" t="s">
        <v>129</v>
      </c>
      <c r="X81" s="107">
        <f>+X72+X80</f>
        <v>144756082.83</v>
      </c>
      <c r="Y81" s="39">
        <f>+Y72+Y80</f>
        <v>7923446.829999999</v>
      </c>
      <c r="Z81" s="39">
        <f>+Z72+Z80</f>
        <v>17301232.689999998</v>
      </c>
      <c r="AA81" s="111">
        <f t="shared" si="132"/>
        <v>0.11951990100698137</v>
      </c>
      <c r="AB81" s="192">
        <f>+AB72+AB80</f>
        <v>7186234.71</v>
      </c>
      <c r="AC81" s="193">
        <f>+AC72+AC80</f>
        <v>0</v>
      </c>
      <c r="AD81" s="202">
        <f>+AD72+AD80</f>
        <v>862593.28</v>
      </c>
      <c r="AE81" s="194">
        <f>+AD81/AB81</f>
        <v>0.12003410893324414</v>
      </c>
      <c r="AF81" s="100">
        <f>+AF72+AF80</f>
        <v>7923446.829999999</v>
      </c>
      <c r="AG81" s="108">
        <f>+AG72+AG80</f>
        <v>18163825.97</v>
      </c>
      <c r="AH81" s="26" t="s">
        <v>129</v>
      </c>
      <c r="AI81" s="107">
        <f>+AI72+AI80</f>
        <v>145036882.83</v>
      </c>
      <c r="AJ81" s="39">
        <f>+AJ72+AJ80</f>
        <v>10865569.63</v>
      </c>
      <c r="AK81" s="39">
        <f>+AK72+AK80</f>
        <v>28166802.32</v>
      </c>
      <c r="AL81" s="111">
        <f t="shared" si="137"/>
        <v>0.19420441042582767</v>
      </c>
      <c r="AM81" s="192">
        <f>+AM72+AM80</f>
        <v>7186234.71</v>
      </c>
      <c r="AN81" s="193">
        <f>+AN72+AN80</f>
        <v>34261.4</v>
      </c>
      <c r="AO81" s="202">
        <f>+AO72+AO80</f>
        <v>896854.68</v>
      </c>
      <c r="AP81" s="194">
        <f>+AO81/AM81</f>
        <v>0.12480175170899756</v>
      </c>
      <c r="AQ81" s="100">
        <f>+AQ72+AQ80</f>
        <v>10899831.030000001</v>
      </c>
      <c r="AR81" s="108">
        <f>+AR72+AR80</f>
        <v>29063657</v>
      </c>
      <c r="AS81" s="26" t="s">
        <v>129</v>
      </c>
      <c r="AT81" s="107">
        <f>+AT72+AT80</f>
        <v>229735257.83</v>
      </c>
      <c r="AU81" s="39">
        <f>+AU72+AU80</f>
        <v>15254495.549999999</v>
      </c>
      <c r="AV81" s="39">
        <f>+AV72+AV80</f>
        <v>43421297.87</v>
      </c>
      <c r="AW81" s="111">
        <f t="shared" si="142"/>
        <v>0.18900580729376326</v>
      </c>
      <c r="AX81" s="192">
        <f>+AX72+AX80</f>
        <v>7186234.71</v>
      </c>
      <c r="AY81" s="193">
        <f>+AY72+AY80</f>
        <v>0</v>
      </c>
      <c r="AZ81" s="202">
        <f>+AZ72+AZ80</f>
        <v>896854.68</v>
      </c>
      <c r="BA81" s="194">
        <f>+AZ81/AX81</f>
        <v>0.12480175170899756</v>
      </c>
      <c r="BB81" s="100">
        <f>+BB72+BB80</f>
        <v>15254495.549999999</v>
      </c>
      <c r="BC81" s="268">
        <f>+BC72+BC80</f>
        <v>44318152.55</v>
      </c>
      <c r="BD81" s="26" t="s">
        <v>129</v>
      </c>
      <c r="BE81" s="107">
        <f>+BE72+BE80</f>
        <v>229735257.83</v>
      </c>
      <c r="BF81" s="39">
        <f>+BF72+BF80</f>
        <v>6162423.2299999995</v>
      </c>
      <c r="BG81" s="39">
        <f>+BG72+BG80</f>
        <v>49583721.1</v>
      </c>
      <c r="BH81" s="111">
        <f t="shared" si="147"/>
        <v>0.2158298276387818</v>
      </c>
      <c r="BI81" s="192">
        <f>+BI72+BI80</f>
        <v>7186234.71</v>
      </c>
      <c r="BJ81" s="193">
        <f>+BJ72+BJ80</f>
        <v>0</v>
      </c>
      <c r="BK81" s="202">
        <f>+BK72+BK80</f>
        <v>896854.68</v>
      </c>
      <c r="BL81" s="194">
        <f>+BK81/BI81</f>
        <v>0.12480175170899756</v>
      </c>
      <c r="BM81" s="100">
        <f>+BM72+BM80</f>
        <v>6162423.2299999995</v>
      </c>
      <c r="BN81" s="268">
        <f>+BN72+BN80</f>
        <v>50480575.78</v>
      </c>
      <c r="BO81" s="26" t="s">
        <v>129</v>
      </c>
      <c r="BP81" s="107">
        <f>+BP72+BP80</f>
        <v>229735257.83</v>
      </c>
      <c r="BQ81" s="39">
        <f>+BQ72+BQ80</f>
        <v>21810541.5</v>
      </c>
      <c r="BR81" s="39">
        <f>+BR72+BR80</f>
        <v>71394262.60000001</v>
      </c>
      <c r="BS81" s="111">
        <f t="shared" si="152"/>
        <v>0.31076754728188255</v>
      </c>
      <c r="BT81" s="192">
        <f>+BT72+BT80</f>
        <v>7186234.71</v>
      </c>
      <c r="BU81" s="193">
        <f>+BU72+BU80</f>
        <v>0</v>
      </c>
      <c r="BV81" s="202">
        <f>+BV72+BV80</f>
        <v>896854.68</v>
      </c>
      <c r="BW81" s="194">
        <f>+BV81/BT81</f>
        <v>0.12480175170899756</v>
      </c>
      <c r="BX81" s="100">
        <f>+BX72+BX80</f>
        <v>21810541.5</v>
      </c>
      <c r="BY81" s="268">
        <f>+BY72+BY80</f>
        <v>72291117.28</v>
      </c>
      <c r="BZ81" s="26" t="s">
        <v>129</v>
      </c>
      <c r="CA81" s="107">
        <f>+CA72+CA80</f>
        <v>229735257.83</v>
      </c>
      <c r="CB81" s="39">
        <f>+CB72+CB80</f>
        <v>9429321.030000001</v>
      </c>
      <c r="CC81" s="39">
        <f>+CC72+CC80</f>
        <v>80823583.63000001</v>
      </c>
      <c r="CD81" s="111">
        <f t="shared" si="157"/>
        <v>0.3518118393903996</v>
      </c>
      <c r="CE81" s="192">
        <f>+CE72+CE80</f>
        <v>7186234.71</v>
      </c>
      <c r="CF81" s="193">
        <f>+CF72+CF80</f>
        <v>0</v>
      </c>
      <c r="CG81" s="202">
        <f>+CG72+CG80</f>
        <v>896854.68</v>
      </c>
      <c r="CH81" s="194">
        <f>+CG81/CE81</f>
        <v>0.12480175170899756</v>
      </c>
      <c r="CI81" s="100">
        <f>+CI72+CI80</f>
        <v>9429321.030000001</v>
      </c>
      <c r="CJ81" s="268">
        <f>+CJ72+CJ80</f>
        <v>81720438.31000002</v>
      </c>
      <c r="CK81" s="26" t="s">
        <v>129</v>
      </c>
      <c r="CL81" s="107">
        <f>+CL72+CL80</f>
        <v>229735257.83</v>
      </c>
      <c r="CM81" s="39">
        <f>+CM72+CM80</f>
        <v>13806999.950000001</v>
      </c>
      <c r="CN81" s="39">
        <f>+CN72+CN80</f>
        <v>94630583.58000003</v>
      </c>
      <c r="CO81" s="111">
        <f t="shared" si="162"/>
        <v>0.4119114517895419</v>
      </c>
      <c r="CP81" s="192">
        <f>+CP72+CP80</f>
        <v>7186234.71</v>
      </c>
      <c r="CQ81" s="193">
        <f>+CQ72+CQ80</f>
        <v>0</v>
      </c>
      <c r="CR81" s="202">
        <f>+CR72+CR80</f>
        <v>896854.68</v>
      </c>
      <c r="CS81" s="194">
        <f>+CR81/CP81</f>
        <v>0.12480175170899756</v>
      </c>
      <c r="CT81" s="100">
        <f>+CT72+CT80</f>
        <v>13806999.950000001</v>
      </c>
      <c r="CU81" s="268">
        <f>+CU72+CU80</f>
        <v>95527438.26000004</v>
      </c>
      <c r="CV81" s="26" t="s">
        <v>129</v>
      </c>
      <c r="CW81" s="107">
        <f>+CW72+CW80</f>
        <v>229735257.83</v>
      </c>
      <c r="CX81" s="39">
        <f>+CX72+CX80</f>
        <v>11498959.999999998</v>
      </c>
      <c r="CY81" s="39">
        <f>+CY72+CY80</f>
        <v>106129543.58</v>
      </c>
      <c r="CZ81" s="111">
        <f t="shared" si="167"/>
        <v>0.4619645438077858</v>
      </c>
      <c r="DA81" s="192">
        <f>+DA72+DA80</f>
        <v>7186234.71</v>
      </c>
      <c r="DB81" s="193">
        <f>+DB72+DB80</f>
        <v>0</v>
      </c>
      <c r="DC81" s="202">
        <f>+DC72+DC80</f>
        <v>896854.68</v>
      </c>
      <c r="DD81" s="194">
        <f>+DC81/DA81</f>
        <v>0.12480175170899756</v>
      </c>
      <c r="DE81" s="100">
        <f>+DE72+DE80</f>
        <v>11498959.999999998</v>
      </c>
      <c r="DF81" s="268">
        <f>+DF72+DF80</f>
        <v>107026398.26</v>
      </c>
      <c r="DG81" s="26" t="s">
        <v>129</v>
      </c>
      <c r="DH81" s="107">
        <f>+DH72+DH80</f>
        <v>229735257.83</v>
      </c>
      <c r="DI81" s="294">
        <f>+DI72+DI80</f>
        <v>13032218.200000001</v>
      </c>
      <c r="DJ81" s="39">
        <f>+DJ72+DJ80</f>
        <v>119161761.78000002</v>
      </c>
      <c r="DK81" s="111">
        <f t="shared" si="172"/>
        <v>0.5186916579786703</v>
      </c>
      <c r="DL81" s="192">
        <f>+DL72+DL80</f>
        <v>7186234.71</v>
      </c>
      <c r="DM81" s="193">
        <f>+DM72+DM80</f>
        <v>0</v>
      </c>
      <c r="DN81" s="202">
        <f>+DN72+DN80</f>
        <v>896854.68</v>
      </c>
      <c r="DO81" s="194">
        <f>+DN81/DL81</f>
        <v>0.12480175170899756</v>
      </c>
      <c r="DP81" s="100">
        <f>+DP72+DP80</f>
        <v>13032218.200000001</v>
      </c>
      <c r="DQ81" s="268">
        <f>+DQ72+DQ80</f>
        <v>120058616.46000002</v>
      </c>
    </row>
    <row r="82" spans="1:121" ht="21">
      <c r="A82" s="95" t="s">
        <v>18</v>
      </c>
      <c r="B82" s="109"/>
      <c r="C82" s="37">
        <f>+C51-C81</f>
        <v>2287118.9299999997</v>
      </c>
      <c r="D82" s="110">
        <f>+D51-D81</f>
        <v>2287118.9299999997</v>
      </c>
      <c r="E82" s="206"/>
      <c r="F82" s="184"/>
      <c r="G82" s="185">
        <f>+G51-G81</f>
        <v>121940.76</v>
      </c>
      <c r="H82" s="186">
        <f>+H51-H81</f>
        <v>121940.76</v>
      </c>
      <c r="I82" s="209"/>
      <c r="J82" s="96">
        <f>+J51-J81</f>
        <v>2409059.6899999995</v>
      </c>
      <c r="K82" s="110">
        <f>+K51-K81</f>
        <v>2409059.6899999995</v>
      </c>
      <c r="L82" s="95" t="s">
        <v>18</v>
      </c>
      <c r="M82" s="109"/>
      <c r="N82" s="37">
        <f>+N51-N81</f>
        <v>5573557.2700000005</v>
      </c>
      <c r="O82" s="110">
        <f>+O51-O81</f>
        <v>7860676.199999999</v>
      </c>
      <c r="P82" s="206"/>
      <c r="Q82" s="184"/>
      <c r="R82" s="185">
        <f>+R51-R81</f>
        <v>-811149.14</v>
      </c>
      <c r="S82" s="186">
        <f>+S51-S81</f>
        <v>-689208.38</v>
      </c>
      <c r="T82" s="209"/>
      <c r="U82" s="96">
        <f>+U51-U81</f>
        <v>4762408.130000001</v>
      </c>
      <c r="V82" s="110">
        <f>+V51-V81</f>
        <v>7171467.82</v>
      </c>
      <c r="W82" s="95" t="s">
        <v>18</v>
      </c>
      <c r="X82" s="109"/>
      <c r="Y82" s="37">
        <f>+Y51-Y81</f>
        <v>1409899.4200000027</v>
      </c>
      <c r="Z82" s="110">
        <f>+Z51-Z81</f>
        <v>9270575.620000005</v>
      </c>
      <c r="AA82" s="206"/>
      <c r="AB82" s="184"/>
      <c r="AC82" s="185">
        <f>+AC51-AC81</f>
        <v>309296.87</v>
      </c>
      <c r="AD82" s="186">
        <f>+AD51-AD81</f>
        <v>-379911.51000000007</v>
      </c>
      <c r="AE82" s="209"/>
      <c r="AF82" s="96">
        <f>+AF51-AF81</f>
        <v>1719196.290000002</v>
      </c>
      <c r="AG82" s="110">
        <f>+AG51-AG81</f>
        <v>8890664.11</v>
      </c>
      <c r="AH82" s="95" t="s">
        <v>18</v>
      </c>
      <c r="AI82" s="109"/>
      <c r="AJ82" s="37">
        <f>+AJ51-AJ81</f>
        <v>-774871.4500000011</v>
      </c>
      <c r="AK82" s="110">
        <f>+AK51-AK81</f>
        <v>8495704.169999994</v>
      </c>
      <c r="AL82" s="206"/>
      <c r="AM82" s="184"/>
      <c r="AN82" s="185">
        <f>+AN51-AN81</f>
        <v>163662.34</v>
      </c>
      <c r="AO82" s="186">
        <f>+AO51-AO81</f>
        <v>-216249.17000000004</v>
      </c>
      <c r="AP82" s="209"/>
      <c r="AQ82" s="96">
        <f>+AQ51-AQ81</f>
        <v>-611209.1100000013</v>
      </c>
      <c r="AR82" s="110">
        <f>+AR51-AR81</f>
        <v>8279455</v>
      </c>
      <c r="AS82" s="95" t="s">
        <v>18</v>
      </c>
      <c r="AT82" s="109"/>
      <c r="AU82" s="37">
        <f>+AU51-AU81</f>
        <v>-5478856.35</v>
      </c>
      <c r="AV82" s="110">
        <f>+AV51-AV81</f>
        <v>3016847.8200000003</v>
      </c>
      <c r="AW82" s="206"/>
      <c r="AX82" s="184"/>
      <c r="AY82" s="185">
        <f>+AY51-AY81</f>
        <v>633270.82</v>
      </c>
      <c r="AZ82" s="186">
        <f>+AZ51-AZ81</f>
        <v>417021.65</v>
      </c>
      <c r="BA82" s="209"/>
      <c r="BB82" s="96">
        <f>+BB51-BB81</f>
        <v>-4845585.529999999</v>
      </c>
      <c r="BC82" s="265">
        <f>+BC51-BC81</f>
        <v>3433869.4700000063</v>
      </c>
      <c r="BD82" s="95" t="s">
        <v>18</v>
      </c>
      <c r="BE82" s="109"/>
      <c r="BF82" s="37">
        <f>+BF51-BF81</f>
        <v>-2355302.1999999997</v>
      </c>
      <c r="BG82" s="110">
        <f>+BG51-BG81</f>
        <v>661545.6199999973</v>
      </c>
      <c r="BH82" s="206"/>
      <c r="BI82" s="184"/>
      <c r="BJ82" s="185">
        <f>+BJ51-BJ81</f>
        <v>7074.78</v>
      </c>
      <c r="BK82" s="186">
        <f>+BK51-BK81</f>
        <v>424096.43000000005</v>
      </c>
      <c r="BL82" s="209"/>
      <c r="BM82" s="96">
        <f>+BM51-BM81</f>
        <v>-2348227.42</v>
      </c>
      <c r="BN82" s="265">
        <f>+BN51-BN81</f>
        <v>1085642.0500000045</v>
      </c>
      <c r="BO82" s="95" t="s">
        <v>18</v>
      </c>
      <c r="BP82" s="109"/>
      <c r="BQ82" s="37">
        <f>+BQ51-BQ81</f>
        <v>598218.8100000024</v>
      </c>
      <c r="BR82" s="110">
        <f>+BR51-BR81</f>
        <v>1259764.4299999923</v>
      </c>
      <c r="BS82" s="206"/>
      <c r="BT82" s="184"/>
      <c r="BU82" s="185">
        <f>+BU51-BU81</f>
        <v>924375</v>
      </c>
      <c r="BV82" s="186">
        <f>+BV51-BV81</f>
        <v>1348471.4299999997</v>
      </c>
      <c r="BW82" s="209"/>
      <c r="BX82" s="96">
        <f>+BX51-BX81</f>
        <v>1522593.8100000024</v>
      </c>
      <c r="BY82" s="265">
        <f>+BY51-BY81</f>
        <v>2608235.8599999845</v>
      </c>
      <c r="BZ82" s="95" t="s">
        <v>18</v>
      </c>
      <c r="CA82" s="109"/>
      <c r="CB82" s="37">
        <f>+CB51-CB81</f>
        <v>-298104.7000000011</v>
      </c>
      <c r="CC82" s="110">
        <f>+CC51-CC81</f>
        <v>961659.7300000042</v>
      </c>
      <c r="CD82" s="206"/>
      <c r="CE82" s="184"/>
      <c r="CF82" s="185">
        <f>+CF51-CF81</f>
        <v>55743.5</v>
      </c>
      <c r="CG82" s="186">
        <f>+CG51-CG81</f>
        <v>1404214.9299999997</v>
      </c>
      <c r="CH82" s="209"/>
      <c r="CI82" s="96">
        <f>+CI51-CI81</f>
        <v>-242361.20000000112</v>
      </c>
      <c r="CJ82" s="265">
        <f>+CJ51-CJ81</f>
        <v>2365874.6599999964</v>
      </c>
      <c r="CK82" s="95" t="s">
        <v>18</v>
      </c>
      <c r="CL82" s="109"/>
      <c r="CM82" s="37">
        <f>+CM51-CM81</f>
        <v>-5185781.680000002</v>
      </c>
      <c r="CN82" s="110">
        <f>+CN51-CN81</f>
        <v>-4224121.950000033</v>
      </c>
      <c r="CO82" s="206"/>
      <c r="CP82" s="184"/>
      <c r="CQ82" s="185">
        <f>+CQ51-CQ81</f>
        <v>367592</v>
      </c>
      <c r="CR82" s="186">
        <f>+CR51-CR81</f>
        <v>1771806.9299999997</v>
      </c>
      <c r="CS82" s="209"/>
      <c r="CT82" s="96">
        <f>+CT51-CT81</f>
        <v>-4818189.680000002</v>
      </c>
      <c r="CU82" s="265">
        <f>+CU51-CU81</f>
        <v>-2452315.0200000405</v>
      </c>
      <c r="CV82" s="95" t="s">
        <v>18</v>
      </c>
      <c r="CW82" s="109"/>
      <c r="CX82" s="37">
        <f>+CX51-CX81</f>
        <v>4995892.120000003</v>
      </c>
      <c r="CY82" s="110">
        <f>+CY51-CY81</f>
        <v>771770.1700000018</v>
      </c>
      <c r="CZ82" s="206"/>
      <c r="DA82" s="184"/>
      <c r="DB82" s="185">
        <f>+DB51-DB81</f>
        <v>332410.5</v>
      </c>
      <c r="DC82" s="186">
        <f>+DC51-DC81</f>
        <v>2104217.4299999997</v>
      </c>
      <c r="DD82" s="209"/>
      <c r="DE82" s="96">
        <f>+DE51-DE81</f>
        <v>5328302.620000003</v>
      </c>
      <c r="DF82" s="265">
        <f>+DF51-DF81</f>
        <v>2875987.599999994</v>
      </c>
      <c r="DG82" s="95" t="s">
        <v>18</v>
      </c>
      <c r="DH82" s="109"/>
      <c r="DI82" s="295">
        <f>+DI51-DI81</f>
        <v>1786335.1799999978</v>
      </c>
      <c r="DJ82" s="110">
        <f>+DJ51-DJ81</f>
        <v>2361016.169999972</v>
      </c>
      <c r="DK82" s="206"/>
      <c r="DL82" s="184"/>
      <c r="DM82" s="185">
        <f>+DM51-DM81</f>
        <v>338340.5</v>
      </c>
      <c r="DN82" s="186">
        <f>+DN51-DN81</f>
        <v>2442557.9299999997</v>
      </c>
      <c r="DO82" s="209"/>
      <c r="DP82" s="96">
        <f>+DP51-DP81</f>
        <v>1927586.4999999981</v>
      </c>
      <c r="DQ82" s="265">
        <f>+DQ51-DQ81</f>
        <v>4803574.099999964</v>
      </c>
    </row>
    <row r="83" spans="1:121" ht="21">
      <c r="A83" s="16" t="s">
        <v>19</v>
      </c>
      <c r="B83" s="90"/>
      <c r="C83" s="38">
        <v>76853790.55</v>
      </c>
      <c r="D83" s="104">
        <v>76853790.55</v>
      </c>
      <c r="E83" s="207"/>
      <c r="F83" s="187"/>
      <c r="G83" s="173">
        <v>1124565.49</v>
      </c>
      <c r="H83" s="188">
        <v>1124565.49</v>
      </c>
      <c r="I83" s="210"/>
      <c r="J83" s="97">
        <v>77978356.04</v>
      </c>
      <c r="K83" s="104">
        <v>77978356.04</v>
      </c>
      <c r="L83" s="16" t="s">
        <v>19</v>
      </c>
      <c r="M83" s="90"/>
      <c r="N83" s="38">
        <v>79140909.48</v>
      </c>
      <c r="O83" s="104">
        <v>76853790.55</v>
      </c>
      <c r="P83" s="207"/>
      <c r="Q83" s="187"/>
      <c r="R83" s="173">
        <v>1246506.25</v>
      </c>
      <c r="S83" s="188">
        <v>1124565.49</v>
      </c>
      <c r="T83" s="210"/>
      <c r="U83" s="97">
        <v>80387415.73</v>
      </c>
      <c r="V83" s="104">
        <v>77978356.04</v>
      </c>
      <c r="W83" s="16" t="s">
        <v>19</v>
      </c>
      <c r="X83" s="90"/>
      <c r="Y83" s="38">
        <v>84714466.75</v>
      </c>
      <c r="Z83" s="104">
        <v>76853790.55</v>
      </c>
      <c r="AA83" s="207"/>
      <c r="AB83" s="187"/>
      <c r="AC83" s="173">
        <v>435357.11</v>
      </c>
      <c r="AD83" s="188">
        <v>1124565.49</v>
      </c>
      <c r="AE83" s="210"/>
      <c r="AF83" s="97">
        <v>80387415.73</v>
      </c>
      <c r="AG83" s="104">
        <v>77978356.04</v>
      </c>
      <c r="AH83" s="16" t="s">
        <v>19</v>
      </c>
      <c r="AI83" s="90"/>
      <c r="AJ83" s="38">
        <v>86124366.17</v>
      </c>
      <c r="AK83" s="104">
        <v>76853790.55</v>
      </c>
      <c r="AL83" s="207"/>
      <c r="AM83" s="187"/>
      <c r="AN83" s="173">
        <v>744653.98</v>
      </c>
      <c r="AO83" s="188">
        <v>1124565.49</v>
      </c>
      <c r="AP83" s="210"/>
      <c r="AQ83" s="97">
        <v>86869020.15</v>
      </c>
      <c r="AR83" s="104">
        <v>77978356.04</v>
      </c>
      <c r="AS83" s="16" t="s">
        <v>19</v>
      </c>
      <c r="AT83" s="90"/>
      <c r="AU83" s="38">
        <v>85349494.72</v>
      </c>
      <c r="AV83" s="104">
        <v>76853790.55</v>
      </c>
      <c r="AW83" s="207"/>
      <c r="AX83" s="187"/>
      <c r="AY83" s="173">
        <v>908316.32</v>
      </c>
      <c r="AZ83" s="188">
        <v>1124565.49</v>
      </c>
      <c r="BA83" s="210"/>
      <c r="BB83" s="97">
        <f>+AU83+AY83</f>
        <v>86257811.03999999</v>
      </c>
      <c r="BC83" s="269">
        <f>+AV83+AZ83</f>
        <v>77978356.03999999</v>
      </c>
      <c r="BD83" s="16" t="s">
        <v>19</v>
      </c>
      <c r="BE83" s="90"/>
      <c r="BF83" s="38">
        <v>79870638.37</v>
      </c>
      <c r="BG83" s="104">
        <v>76853790.55</v>
      </c>
      <c r="BH83" s="207"/>
      <c r="BI83" s="187"/>
      <c r="BJ83" s="173">
        <v>1541587.14</v>
      </c>
      <c r="BK83" s="188">
        <v>1124565.49</v>
      </c>
      <c r="BL83" s="210"/>
      <c r="BM83" s="97">
        <f>+BF83+BJ83</f>
        <v>81412225.51</v>
      </c>
      <c r="BN83" s="269">
        <f>+BG83+BK83</f>
        <v>77978356.03999999</v>
      </c>
      <c r="BO83" s="16" t="s">
        <v>19</v>
      </c>
      <c r="BP83" s="90"/>
      <c r="BQ83" s="38">
        <v>77515336.17</v>
      </c>
      <c r="BR83" s="104">
        <v>76853790.55</v>
      </c>
      <c r="BS83" s="207"/>
      <c r="BT83" s="187"/>
      <c r="BU83" s="173">
        <v>1548661.92</v>
      </c>
      <c r="BV83" s="188">
        <v>1124565.49</v>
      </c>
      <c r="BW83" s="210"/>
      <c r="BX83" s="97">
        <f>+BQ83+BU83</f>
        <v>79063998.09</v>
      </c>
      <c r="BY83" s="269">
        <f>+BR83+BV83</f>
        <v>77978356.03999999</v>
      </c>
      <c r="BZ83" s="16" t="s">
        <v>19</v>
      </c>
      <c r="CA83" s="90"/>
      <c r="CB83" s="38">
        <v>78113554.98</v>
      </c>
      <c r="CC83" s="104">
        <v>76853790.55</v>
      </c>
      <c r="CD83" s="207"/>
      <c r="CE83" s="187"/>
      <c r="CF83" s="173">
        <v>2473036.92</v>
      </c>
      <c r="CG83" s="188">
        <v>1124565.49</v>
      </c>
      <c r="CH83" s="210"/>
      <c r="CI83" s="97">
        <f>+CB83+CF83</f>
        <v>80586591.9</v>
      </c>
      <c r="CJ83" s="269">
        <f>+CC83+CG83</f>
        <v>77978356.03999999</v>
      </c>
      <c r="CK83" s="16" t="s">
        <v>19</v>
      </c>
      <c r="CL83" s="90"/>
      <c r="CM83" s="38">
        <v>77815450.28</v>
      </c>
      <c r="CN83" s="104">
        <v>76853790.55</v>
      </c>
      <c r="CO83" s="207"/>
      <c r="CP83" s="187"/>
      <c r="CQ83" s="173">
        <v>2528780.42</v>
      </c>
      <c r="CR83" s="188">
        <v>1124565.49</v>
      </c>
      <c r="CS83" s="210"/>
      <c r="CT83" s="97">
        <f>+CM83+CQ83</f>
        <v>80344230.7</v>
      </c>
      <c r="CU83" s="269">
        <f>+CN83+CR83</f>
        <v>77978356.03999999</v>
      </c>
      <c r="CV83" s="16" t="s">
        <v>19</v>
      </c>
      <c r="CW83" s="90"/>
      <c r="CX83" s="38">
        <v>72629668.6</v>
      </c>
      <c r="CY83" s="104">
        <v>76853790.55</v>
      </c>
      <c r="CZ83" s="207"/>
      <c r="DA83" s="187"/>
      <c r="DB83" s="173">
        <v>2896372.42</v>
      </c>
      <c r="DC83" s="188">
        <v>1124565.49</v>
      </c>
      <c r="DD83" s="210"/>
      <c r="DE83" s="97">
        <f>+CX83+DB83</f>
        <v>75526041.02</v>
      </c>
      <c r="DF83" s="269">
        <f>+CY83+DC83</f>
        <v>77978356.03999999</v>
      </c>
      <c r="DG83" s="16" t="s">
        <v>19</v>
      </c>
      <c r="DH83" s="90"/>
      <c r="DI83" s="283">
        <v>63280717.29</v>
      </c>
      <c r="DJ83" s="104">
        <v>76853790.55</v>
      </c>
      <c r="DK83" s="207"/>
      <c r="DL83" s="187"/>
      <c r="DM83" s="173">
        <v>3228782.92</v>
      </c>
      <c r="DN83" s="188">
        <v>1124565.49</v>
      </c>
      <c r="DO83" s="210"/>
      <c r="DP83" s="97">
        <f>+DI83+DM83</f>
        <v>66509500.21</v>
      </c>
      <c r="DQ83" s="269">
        <f>+DJ83+DN83</f>
        <v>77978356.03999999</v>
      </c>
    </row>
    <row r="84" spans="1:121" ht="21.75" thickBot="1">
      <c r="A84" s="113" t="s">
        <v>20</v>
      </c>
      <c r="B84" s="114"/>
      <c r="C84" s="115">
        <f>+C83+C82</f>
        <v>79140909.47999999</v>
      </c>
      <c r="D84" s="116">
        <f>+D83+D82</f>
        <v>79140909.47999999</v>
      </c>
      <c r="E84" s="117"/>
      <c r="F84" s="195"/>
      <c r="G84" s="196">
        <f>+G82+G83</f>
        <v>1246506.25</v>
      </c>
      <c r="H84" s="197">
        <f>+H82+H83</f>
        <v>1246506.25</v>
      </c>
      <c r="I84" s="198"/>
      <c r="J84" s="118">
        <f>+C84+G84</f>
        <v>80387415.72999999</v>
      </c>
      <c r="K84" s="116">
        <f>+K82+K83</f>
        <v>80387415.73</v>
      </c>
      <c r="L84" s="113" t="s">
        <v>20</v>
      </c>
      <c r="M84" s="114"/>
      <c r="N84" s="115">
        <f>+N83+N82</f>
        <v>84714466.75</v>
      </c>
      <c r="O84" s="116">
        <f>+O83+O82</f>
        <v>84714466.75</v>
      </c>
      <c r="P84" s="117"/>
      <c r="Q84" s="195"/>
      <c r="R84" s="196">
        <f>+R82+R83</f>
        <v>435357.11</v>
      </c>
      <c r="S84" s="197">
        <f>+S82+S83</f>
        <v>435357.11</v>
      </c>
      <c r="T84" s="198"/>
      <c r="U84" s="118">
        <f>+N84+R84</f>
        <v>85149823.86</v>
      </c>
      <c r="V84" s="116">
        <f>+V82+V83</f>
        <v>85149823.86000001</v>
      </c>
      <c r="W84" s="113" t="s">
        <v>20</v>
      </c>
      <c r="X84" s="114"/>
      <c r="Y84" s="115">
        <f>+Y83+Y82</f>
        <v>86124366.17</v>
      </c>
      <c r="Z84" s="116">
        <f>+Z83+Z82</f>
        <v>86124366.17</v>
      </c>
      <c r="AA84" s="117"/>
      <c r="AB84" s="195"/>
      <c r="AC84" s="196">
        <f>+AC82+AC83</f>
        <v>744653.98</v>
      </c>
      <c r="AD84" s="197">
        <f>+AD82+AD83</f>
        <v>744653.98</v>
      </c>
      <c r="AE84" s="198"/>
      <c r="AF84" s="118">
        <f>+Y84+AC84</f>
        <v>86869020.15</v>
      </c>
      <c r="AG84" s="116">
        <f>+AG82+AG83</f>
        <v>86869020.15</v>
      </c>
      <c r="AH84" s="113" t="s">
        <v>20</v>
      </c>
      <c r="AI84" s="114"/>
      <c r="AJ84" s="115">
        <f>+AJ83+AJ82</f>
        <v>85349494.72</v>
      </c>
      <c r="AK84" s="116">
        <f>+AK83+AK82</f>
        <v>85349494.72</v>
      </c>
      <c r="AL84" s="117"/>
      <c r="AM84" s="195"/>
      <c r="AN84" s="196">
        <f>+AN82+AN83</f>
        <v>908316.32</v>
      </c>
      <c r="AO84" s="197">
        <f>+AO82+AO83</f>
        <v>908316.32</v>
      </c>
      <c r="AP84" s="198"/>
      <c r="AQ84" s="118">
        <f>+AJ84+AN84</f>
        <v>86257811.03999999</v>
      </c>
      <c r="AR84" s="116">
        <f>+AR82+AR83</f>
        <v>86257811.04</v>
      </c>
      <c r="AS84" s="113" t="s">
        <v>20</v>
      </c>
      <c r="AT84" s="114"/>
      <c r="AU84" s="115">
        <f>+AU83+AU82</f>
        <v>79870638.37</v>
      </c>
      <c r="AV84" s="116">
        <f>+AV83+AV82</f>
        <v>79870638.37</v>
      </c>
      <c r="AW84" s="117"/>
      <c r="AX84" s="195"/>
      <c r="AY84" s="196">
        <f>+AY82+AY83</f>
        <v>1541587.14</v>
      </c>
      <c r="AZ84" s="197">
        <f>+AZ82+AZ83</f>
        <v>1541587.1400000001</v>
      </c>
      <c r="BA84" s="198"/>
      <c r="BB84" s="118">
        <f>+AU84+AY84</f>
        <v>81412225.51</v>
      </c>
      <c r="BC84" s="270">
        <f>+BC82+BC83</f>
        <v>81412225.50999999</v>
      </c>
      <c r="BD84" s="113" t="s">
        <v>20</v>
      </c>
      <c r="BE84" s="114"/>
      <c r="BF84" s="115">
        <f>+BF83+BF82</f>
        <v>77515336.17</v>
      </c>
      <c r="BG84" s="116">
        <f>+BG83+BG82</f>
        <v>77515336.16999999</v>
      </c>
      <c r="BH84" s="117"/>
      <c r="BI84" s="195"/>
      <c r="BJ84" s="196">
        <f>+BJ82+BJ83</f>
        <v>1548661.92</v>
      </c>
      <c r="BK84" s="197">
        <f>+BK82+BK83</f>
        <v>1548661.92</v>
      </c>
      <c r="BL84" s="198"/>
      <c r="BM84" s="118">
        <f>+BF84+BJ84</f>
        <v>79063998.09</v>
      </c>
      <c r="BN84" s="270">
        <f>+BN82+BN83</f>
        <v>79063998.09</v>
      </c>
      <c r="BO84" s="113" t="s">
        <v>20</v>
      </c>
      <c r="BP84" s="114"/>
      <c r="BQ84" s="115">
        <f>+BQ83+BQ82</f>
        <v>78113554.98</v>
      </c>
      <c r="BR84" s="116">
        <f>+BR83+BR82</f>
        <v>78113554.97999999</v>
      </c>
      <c r="BS84" s="117"/>
      <c r="BT84" s="195"/>
      <c r="BU84" s="196">
        <f>+BU82+BU83</f>
        <v>2473036.92</v>
      </c>
      <c r="BV84" s="197">
        <f>+BV82+BV83</f>
        <v>2473036.92</v>
      </c>
      <c r="BW84" s="198"/>
      <c r="BX84" s="118">
        <f>+BQ84+BU84</f>
        <v>80586591.9</v>
      </c>
      <c r="BY84" s="270">
        <f>+BY82+BY83</f>
        <v>80586591.89999998</v>
      </c>
      <c r="BZ84" s="113" t="s">
        <v>20</v>
      </c>
      <c r="CA84" s="114"/>
      <c r="CB84" s="115">
        <f>+CB83+CB82</f>
        <v>77815450.28</v>
      </c>
      <c r="CC84" s="116">
        <f>+CC83+CC82</f>
        <v>77815450.28</v>
      </c>
      <c r="CD84" s="117"/>
      <c r="CE84" s="195"/>
      <c r="CF84" s="196">
        <f>+CF82+CF83</f>
        <v>2528780.42</v>
      </c>
      <c r="CG84" s="197">
        <f>+CG82+CG83</f>
        <v>2528780.42</v>
      </c>
      <c r="CH84" s="198"/>
      <c r="CI84" s="118">
        <f>+CB84+CF84</f>
        <v>80344230.7</v>
      </c>
      <c r="CJ84" s="270">
        <f>+CJ82+CJ83</f>
        <v>80344230.69999999</v>
      </c>
      <c r="CK84" s="113" t="s">
        <v>20</v>
      </c>
      <c r="CL84" s="114"/>
      <c r="CM84" s="115">
        <f>+CM83+CM82</f>
        <v>72629668.6</v>
      </c>
      <c r="CN84" s="116">
        <f>+CN83+CN82</f>
        <v>72629668.59999996</v>
      </c>
      <c r="CO84" s="117"/>
      <c r="CP84" s="195"/>
      <c r="CQ84" s="196">
        <f>+CQ82+CQ83</f>
        <v>2896372.42</v>
      </c>
      <c r="CR84" s="197">
        <f>+CR82+CR83</f>
        <v>2896372.42</v>
      </c>
      <c r="CS84" s="198"/>
      <c r="CT84" s="118">
        <f>+CM84+CQ84</f>
        <v>75526041.02</v>
      </c>
      <c r="CU84" s="270">
        <f>+CU82+CU83</f>
        <v>75526041.01999995</v>
      </c>
      <c r="CV84" s="113" t="s">
        <v>20</v>
      </c>
      <c r="CW84" s="114"/>
      <c r="CX84" s="115">
        <f>+CX83+CX82</f>
        <v>77625560.72</v>
      </c>
      <c r="CY84" s="116">
        <f>+CY83+CY82</f>
        <v>77625560.72</v>
      </c>
      <c r="CZ84" s="117"/>
      <c r="DA84" s="195"/>
      <c r="DB84" s="196">
        <f>+DB82+DB83</f>
        <v>3228782.92</v>
      </c>
      <c r="DC84" s="197">
        <f>+DC82+DC83</f>
        <v>3228782.92</v>
      </c>
      <c r="DD84" s="198"/>
      <c r="DE84" s="118">
        <f>+CX84+DB84</f>
        <v>80854343.64</v>
      </c>
      <c r="DF84" s="270">
        <f>+DF82+DF83</f>
        <v>80854343.63999999</v>
      </c>
      <c r="DG84" s="113" t="s">
        <v>20</v>
      </c>
      <c r="DH84" s="114"/>
      <c r="DI84" s="296">
        <f>+DI83+DI82</f>
        <v>65067052.47</v>
      </c>
      <c r="DJ84" s="116">
        <f>+DJ83+DJ82</f>
        <v>79214806.71999997</v>
      </c>
      <c r="DK84" s="117"/>
      <c r="DL84" s="195"/>
      <c r="DM84" s="296">
        <f>+DM82+DM83</f>
        <v>3567123.42</v>
      </c>
      <c r="DN84" s="299">
        <f>+DN82+DN83</f>
        <v>3567123.42</v>
      </c>
      <c r="DO84" s="300"/>
      <c r="DP84" s="301">
        <f>+DI84+DM84</f>
        <v>68634175.89</v>
      </c>
      <c r="DQ84" s="270">
        <f>+DQ82+DQ83</f>
        <v>82781930.13999996</v>
      </c>
    </row>
    <row r="85" spans="1:121" ht="21.75" thickTop="1">
      <c r="A85" s="41"/>
      <c r="B85" s="36"/>
      <c r="C85" s="36"/>
      <c r="D85" s="36"/>
      <c r="E85" s="33"/>
      <c r="F85" s="36"/>
      <c r="G85" s="36"/>
      <c r="H85" s="36"/>
      <c r="I85" s="33"/>
      <c r="J85" s="36"/>
      <c r="K85" s="36"/>
      <c r="L85" s="41"/>
      <c r="M85" s="36"/>
      <c r="N85" s="36"/>
      <c r="O85" s="36"/>
      <c r="P85" s="33"/>
      <c r="Q85" s="36"/>
      <c r="R85" s="36"/>
      <c r="S85" s="36"/>
      <c r="T85" s="33"/>
      <c r="U85" s="36"/>
      <c r="V85" s="36"/>
      <c r="W85" s="41"/>
      <c r="X85" s="36"/>
      <c r="Y85" s="36"/>
      <c r="Z85" s="36"/>
      <c r="AA85" s="33"/>
      <c r="AB85" s="36"/>
      <c r="AC85" s="36"/>
      <c r="AD85" s="36"/>
      <c r="AE85" s="33"/>
      <c r="AF85" s="36"/>
      <c r="AG85" s="36"/>
      <c r="AH85" s="41"/>
      <c r="AI85" s="36"/>
      <c r="AJ85" s="36"/>
      <c r="AK85" s="36"/>
      <c r="AL85" s="33"/>
      <c r="AM85" s="36"/>
      <c r="AN85" s="36"/>
      <c r="AO85" s="36"/>
      <c r="AP85" s="33"/>
      <c r="AQ85" s="36"/>
      <c r="AR85" s="36"/>
      <c r="AS85" s="41"/>
      <c r="AT85" s="36"/>
      <c r="AU85" s="36"/>
      <c r="AV85" s="36"/>
      <c r="AW85" s="33"/>
      <c r="AX85" s="36"/>
      <c r="AY85" s="36"/>
      <c r="AZ85" s="36"/>
      <c r="BA85" s="33"/>
      <c r="BB85" s="36"/>
      <c r="BC85" s="264"/>
      <c r="BD85" s="41"/>
      <c r="BE85" s="36"/>
      <c r="BF85" s="36"/>
      <c r="BG85" s="36"/>
      <c r="BH85" s="33"/>
      <c r="BI85" s="36"/>
      <c r="BJ85" s="36"/>
      <c r="BK85" s="36"/>
      <c r="BL85" s="33"/>
      <c r="BM85" s="36"/>
      <c r="BN85" s="264"/>
      <c r="BO85" s="41"/>
      <c r="BP85" s="36"/>
      <c r="BQ85" s="36"/>
      <c r="BR85" s="36"/>
      <c r="BS85" s="33"/>
      <c r="BT85" s="36"/>
      <c r="BU85" s="36"/>
      <c r="BV85" s="36"/>
      <c r="BW85" s="33"/>
      <c r="BX85" s="36"/>
      <c r="BY85" s="264"/>
      <c r="BZ85" s="41"/>
      <c r="CA85" s="36"/>
      <c r="CB85" s="36"/>
      <c r="CC85" s="36"/>
      <c r="CD85" s="33"/>
      <c r="CE85" s="36"/>
      <c r="CF85" s="36"/>
      <c r="CG85" s="36"/>
      <c r="CH85" s="33"/>
      <c r="CI85" s="36"/>
      <c r="CJ85" s="264"/>
      <c r="CK85" s="41"/>
      <c r="CL85" s="36"/>
      <c r="CM85" s="36"/>
      <c r="CN85" s="36"/>
      <c r="CO85" s="33"/>
      <c r="CP85" s="36"/>
      <c r="CQ85" s="36"/>
      <c r="CR85" s="36"/>
      <c r="CS85" s="33"/>
      <c r="CT85" s="36"/>
      <c r="CU85" s="264"/>
      <c r="CV85" s="41"/>
      <c r="CW85" s="36"/>
      <c r="CX85" s="36"/>
      <c r="CY85" s="36"/>
      <c r="CZ85" s="33"/>
      <c r="DA85" s="36"/>
      <c r="DB85" s="36"/>
      <c r="DC85" s="36"/>
      <c r="DD85" s="33"/>
      <c r="DE85" s="36"/>
      <c r="DF85" s="264"/>
      <c r="DG85" s="41"/>
      <c r="DH85" s="36"/>
      <c r="DI85" s="289"/>
      <c r="DJ85" s="36"/>
      <c r="DK85" s="33"/>
      <c r="DL85" s="36"/>
      <c r="DM85" s="36"/>
      <c r="DN85" s="36"/>
      <c r="DO85" s="33"/>
      <c r="DP85" s="36"/>
      <c r="DQ85" s="264"/>
    </row>
    <row r="86" spans="1:121" ht="21">
      <c r="A86" s="41"/>
      <c r="B86" s="36"/>
      <c r="C86" s="36"/>
      <c r="D86" s="36"/>
      <c r="E86" s="33"/>
      <c r="F86" s="36"/>
      <c r="G86" s="36"/>
      <c r="H86" s="36"/>
      <c r="I86" s="33"/>
      <c r="J86" s="36"/>
      <c r="K86" s="36"/>
      <c r="L86" s="41"/>
      <c r="M86" s="36"/>
      <c r="N86" s="36"/>
      <c r="O86" s="36"/>
      <c r="P86" s="33"/>
      <c r="Q86" s="36"/>
      <c r="R86" s="36"/>
      <c r="S86" s="36"/>
      <c r="T86" s="33"/>
      <c r="U86" s="36"/>
      <c r="V86" s="36"/>
      <c r="W86" s="41"/>
      <c r="X86" s="36"/>
      <c r="Y86" s="36"/>
      <c r="Z86" s="36"/>
      <c r="AA86" s="33"/>
      <c r="AB86" s="36"/>
      <c r="AC86" s="36"/>
      <c r="AD86" s="36"/>
      <c r="AE86" s="33"/>
      <c r="AF86" s="36"/>
      <c r="AG86" s="36"/>
      <c r="AH86" s="41"/>
      <c r="AI86" s="36"/>
      <c r="AJ86" s="36"/>
      <c r="AK86" s="36"/>
      <c r="AL86" s="33"/>
      <c r="AM86" s="36"/>
      <c r="AN86" s="36"/>
      <c r="AO86" s="36"/>
      <c r="AP86" s="33"/>
      <c r="AQ86" s="36"/>
      <c r="AR86" s="36"/>
      <c r="AS86" s="41"/>
      <c r="AT86" s="36"/>
      <c r="AU86" s="36"/>
      <c r="AV86" s="36"/>
      <c r="AW86" s="33"/>
      <c r="AX86" s="36"/>
      <c r="AY86" s="36"/>
      <c r="AZ86" s="36"/>
      <c r="BA86" s="33"/>
      <c r="BB86" s="36"/>
      <c r="BC86" s="264"/>
      <c r="BD86" s="41"/>
      <c r="BE86" s="36"/>
      <c r="BF86" s="36"/>
      <c r="BG86" s="36"/>
      <c r="BH86" s="33"/>
      <c r="BI86" s="36"/>
      <c r="BJ86" s="36"/>
      <c r="BK86" s="36"/>
      <c r="BL86" s="33"/>
      <c r="BM86" s="36"/>
      <c r="BN86" s="264"/>
      <c r="BO86" s="41"/>
      <c r="BP86" s="36"/>
      <c r="BQ86" s="36"/>
      <c r="BR86" s="36"/>
      <c r="BS86" s="33"/>
      <c r="BT86" s="36"/>
      <c r="BU86" s="36"/>
      <c r="BV86" s="36"/>
      <c r="BW86" s="33"/>
      <c r="BX86" s="36"/>
      <c r="BY86" s="264"/>
      <c r="BZ86" s="41"/>
      <c r="CA86" s="36"/>
      <c r="CB86" s="36"/>
      <c r="CC86" s="36"/>
      <c r="CD86" s="33"/>
      <c r="CE86" s="36"/>
      <c r="CF86" s="36"/>
      <c r="CG86" s="36"/>
      <c r="CH86" s="33"/>
      <c r="CI86" s="36"/>
      <c r="CJ86" s="264"/>
      <c r="CK86" s="41"/>
      <c r="CL86" s="36"/>
      <c r="CM86" s="36"/>
      <c r="CN86" s="36"/>
      <c r="CO86" s="33"/>
      <c r="CP86" s="36"/>
      <c r="CQ86" s="36"/>
      <c r="CR86" s="36"/>
      <c r="CS86" s="33"/>
      <c r="CT86" s="36"/>
      <c r="CU86" s="264"/>
      <c r="CV86" s="41"/>
      <c r="CW86" s="36"/>
      <c r="CX86" s="36"/>
      <c r="CY86" s="36"/>
      <c r="CZ86" s="33"/>
      <c r="DA86" s="36"/>
      <c r="DB86" s="36"/>
      <c r="DC86" s="36"/>
      <c r="DD86" s="33"/>
      <c r="DE86" s="36"/>
      <c r="DF86" s="264"/>
      <c r="DG86" s="41"/>
      <c r="DH86" s="36"/>
      <c r="DI86" s="289"/>
      <c r="DJ86" s="36"/>
      <c r="DK86" s="33"/>
      <c r="DL86" s="36"/>
      <c r="DM86" s="36"/>
      <c r="DN86" s="36"/>
      <c r="DO86" s="33"/>
      <c r="DP86" s="36"/>
      <c r="DQ86" s="264"/>
    </row>
    <row r="87" spans="1:121" ht="21">
      <c r="A87" s="41"/>
      <c r="B87" s="36"/>
      <c r="C87" s="36"/>
      <c r="D87" s="36"/>
      <c r="E87" s="33"/>
      <c r="F87" s="36"/>
      <c r="G87" s="36"/>
      <c r="H87" s="36"/>
      <c r="I87" s="33"/>
      <c r="J87" s="36"/>
      <c r="K87" s="36"/>
      <c r="L87" s="41"/>
      <c r="M87" s="36"/>
      <c r="N87" s="36"/>
      <c r="O87" s="36"/>
      <c r="P87" s="33"/>
      <c r="Q87" s="36"/>
      <c r="R87" s="36"/>
      <c r="S87" s="36"/>
      <c r="T87" s="33"/>
      <c r="U87" s="36"/>
      <c r="V87" s="36"/>
      <c r="W87" s="41"/>
      <c r="X87" s="36"/>
      <c r="Y87" s="36"/>
      <c r="Z87" s="36"/>
      <c r="AA87" s="33"/>
      <c r="AB87" s="36"/>
      <c r="AC87" s="36"/>
      <c r="AD87" s="36"/>
      <c r="AE87" s="33"/>
      <c r="AF87" s="36"/>
      <c r="AG87" s="36"/>
      <c r="AH87" s="41"/>
      <c r="AI87" s="36"/>
      <c r="AJ87" s="36"/>
      <c r="AK87" s="36"/>
      <c r="AL87" s="33"/>
      <c r="AM87" s="36"/>
      <c r="AN87" s="36"/>
      <c r="AO87" s="36"/>
      <c r="AP87" s="33"/>
      <c r="AQ87" s="36"/>
      <c r="AR87" s="36"/>
      <c r="AS87" s="41"/>
      <c r="AT87" s="36"/>
      <c r="AU87" s="36"/>
      <c r="AV87" s="36"/>
      <c r="AW87" s="33"/>
      <c r="AX87" s="36"/>
      <c r="AY87" s="36"/>
      <c r="AZ87" s="36"/>
      <c r="BA87" s="33"/>
      <c r="BB87" s="36"/>
      <c r="BC87" s="264"/>
      <c r="BD87" s="41"/>
      <c r="BE87" s="36"/>
      <c r="BF87" s="36"/>
      <c r="BG87" s="36"/>
      <c r="BH87" s="33"/>
      <c r="BI87" s="36"/>
      <c r="BJ87" s="36"/>
      <c r="BK87" s="36"/>
      <c r="BL87" s="33"/>
      <c r="BM87" s="36"/>
      <c r="BN87" s="264"/>
      <c r="BO87" s="41"/>
      <c r="BP87" s="36"/>
      <c r="BQ87" s="36"/>
      <c r="BR87" s="36"/>
      <c r="BS87" s="33"/>
      <c r="BT87" s="36"/>
      <c r="BU87" s="36"/>
      <c r="BV87" s="36"/>
      <c r="BW87" s="33"/>
      <c r="BX87" s="36"/>
      <c r="BY87" s="264"/>
      <c r="BZ87" s="41"/>
      <c r="CA87" s="36"/>
      <c r="CB87" s="36"/>
      <c r="CC87" s="36"/>
      <c r="CD87" s="33"/>
      <c r="CE87" s="36"/>
      <c r="CF87" s="36"/>
      <c r="CG87" s="36"/>
      <c r="CH87" s="33"/>
      <c r="CI87" s="36"/>
      <c r="CJ87" s="264"/>
      <c r="CK87" s="41"/>
      <c r="CL87" s="36"/>
      <c r="CM87" s="36"/>
      <c r="CN87" s="36"/>
      <c r="CO87" s="33"/>
      <c r="CP87" s="36"/>
      <c r="CQ87" s="36"/>
      <c r="CR87" s="36"/>
      <c r="CS87" s="33"/>
      <c r="CT87" s="36"/>
      <c r="CU87" s="264"/>
      <c r="CV87" s="41"/>
      <c r="CW87" s="36"/>
      <c r="CX87" s="36"/>
      <c r="CY87" s="36"/>
      <c r="CZ87" s="33"/>
      <c r="DA87" s="36"/>
      <c r="DB87" s="36"/>
      <c r="DC87" s="36"/>
      <c r="DD87" s="33"/>
      <c r="DE87" s="36"/>
      <c r="DF87" s="264"/>
      <c r="DG87" s="41"/>
      <c r="DH87" s="36"/>
      <c r="DI87" s="289"/>
      <c r="DJ87" s="36"/>
      <c r="DK87" s="33"/>
      <c r="DL87" s="36"/>
      <c r="DM87" s="36"/>
      <c r="DN87" s="36"/>
      <c r="DO87" s="33"/>
      <c r="DP87" s="36"/>
      <c r="DQ87" s="264"/>
    </row>
    <row r="88" spans="1:121" ht="21">
      <c r="A88" s="41"/>
      <c r="B88" s="36"/>
      <c r="C88" s="36"/>
      <c r="D88" s="36"/>
      <c r="E88" s="33"/>
      <c r="F88" s="36"/>
      <c r="G88" s="36"/>
      <c r="H88" s="36"/>
      <c r="I88" s="33"/>
      <c r="J88" s="36"/>
      <c r="K88" s="36"/>
      <c r="L88" s="41"/>
      <c r="M88" s="36"/>
      <c r="N88" s="36"/>
      <c r="O88" s="36"/>
      <c r="P88" s="33"/>
      <c r="Q88" s="36"/>
      <c r="R88" s="36"/>
      <c r="S88" s="36"/>
      <c r="T88" s="33"/>
      <c r="U88" s="36"/>
      <c r="V88" s="36"/>
      <c r="W88" s="41"/>
      <c r="X88" s="36"/>
      <c r="Y88" s="36"/>
      <c r="Z88" s="36"/>
      <c r="AA88" s="33"/>
      <c r="AB88" s="36"/>
      <c r="AC88" s="36"/>
      <c r="AD88" s="36"/>
      <c r="AE88" s="33"/>
      <c r="AF88" s="36"/>
      <c r="AG88" s="36"/>
      <c r="AH88" s="41"/>
      <c r="AI88" s="36"/>
      <c r="AJ88" s="36"/>
      <c r="AK88" s="36"/>
      <c r="AL88" s="33"/>
      <c r="AM88" s="36"/>
      <c r="AN88" s="36"/>
      <c r="AO88" s="36"/>
      <c r="AP88" s="33"/>
      <c r="AQ88" s="36"/>
      <c r="AR88" s="36"/>
      <c r="AS88" s="41"/>
      <c r="AT88" s="36"/>
      <c r="AU88" s="36"/>
      <c r="AV88" s="36"/>
      <c r="AW88" s="33"/>
      <c r="AX88" s="36"/>
      <c r="AY88" s="36"/>
      <c r="AZ88" s="36"/>
      <c r="BA88" s="33"/>
      <c r="BB88" s="36"/>
      <c r="BC88" s="264"/>
      <c r="BD88" s="41"/>
      <c r="BE88" s="36"/>
      <c r="BF88" s="36"/>
      <c r="BG88" s="36"/>
      <c r="BH88" s="33"/>
      <c r="BI88" s="36"/>
      <c r="BJ88" s="36"/>
      <c r="BK88" s="36"/>
      <c r="BL88" s="33"/>
      <c r="BM88" s="36"/>
      <c r="BN88" s="264"/>
      <c r="BO88" s="41"/>
      <c r="BP88" s="36"/>
      <c r="BQ88" s="36"/>
      <c r="BR88" s="36"/>
      <c r="BS88" s="33"/>
      <c r="BT88" s="36"/>
      <c r="BU88" s="36"/>
      <c r="BV88" s="36"/>
      <c r="BW88" s="33"/>
      <c r="BX88" s="36"/>
      <c r="BY88" s="264"/>
      <c r="BZ88" s="41"/>
      <c r="CA88" s="36"/>
      <c r="CB88" s="36"/>
      <c r="CC88" s="36"/>
      <c r="CD88" s="33"/>
      <c r="CE88" s="36"/>
      <c r="CF88" s="36"/>
      <c r="CG88" s="36"/>
      <c r="CH88" s="33"/>
      <c r="CI88" s="36"/>
      <c r="CJ88" s="264"/>
      <c r="CK88" s="41"/>
      <c r="CL88" s="36"/>
      <c r="CM88" s="36"/>
      <c r="CN88" s="36"/>
      <c r="CO88" s="33"/>
      <c r="CP88" s="36"/>
      <c r="CQ88" s="36"/>
      <c r="CR88" s="36"/>
      <c r="CS88" s="33"/>
      <c r="CT88" s="36"/>
      <c r="CU88" s="264"/>
      <c r="CV88" s="41"/>
      <c r="CW88" s="36"/>
      <c r="CX88" s="36"/>
      <c r="CY88" s="36"/>
      <c r="CZ88" s="33"/>
      <c r="DA88" s="36"/>
      <c r="DB88" s="36"/>
      <c r="DC88" s="36"/>
      <c r="DD88" s="33"/>
      <c r="DE88" s="36"/>
      <c r="DF88" s="264"/>
      <c r="DG88" s="41"/>
      <c r="DH88" s="36"/>
      <c r="DI88" s="289"/>
      <c r="DJ88" s="36"/>
      <c r="DK88" s="33"/>
      <c r="DL88" s="36"/>
      <c r="DM88" s="36"/>
      <c r="DN88" s="36"/>
      <c r="DO88" s="33"/>
      <c r="DP88" s="36"/>
      <c r="DQ88" s="264"/>
    </row>
    <row r="89" spans="1:121" ht="21">
      <c r="A89" s="41"/>
      <c r="B89" s="36"/>
      <c r="C89" s="36"/>
      <c r="D89" s="36"/>
      <c r="E89" s="33"/>
      <c r="F89" s="36"/>
      <c r="G89" s="36"/>
      <c r="H89" s="36"/>
      <c r="I89" s="33"/>
      <c r="J89" s="36"/>
      <c r="K89" s="36"/>
      <c r="L89" s="41"/>
      <c r="M89" s="36"/>
      <c r="N89" s="36"/>
      <c r="O89" s="36"/>
      <c r="P89" s="33"/>
      <c r="Q89" s="36"/>
      <c r="R89" s="36"/>
      <c r="S89" s="36"/>
      <c r="T89" s="33"/>
      <c r="U89" s="36"/>
      <c r="V89" s="36"/>
      <c r="W89" s="41"/>
      <c r="X89" s="36"/>
      <c r="Y89" s="36"/>
      <c r="Z89" s="36"/>
      <c r="AA89" s="33"/>
      <c r="AB89" s="36"/>
      <c r="AC89" s="36"/>
      <c r="AD89" s="36"/>
      <c r="AE89" s="33"/>
      <c r="AF89" s="36"/>
      <c r="AG89" s="36"/>
      <c r="AH89" s="41"/>
      <c r="AI89" s="36"/>
      <c r="AJ89" s="36"/>
      <c r="AK89" s="36"/>
      <c r="AL89" s="33"/>
      <c r="AM89" s="36"/>
      <c r="AN89" s="36"/>
      <c r="AO89" s="36"/>
      <c r="AP89" s="33"/>
      <c r="AQ89" s="36"/>
      <c r="AR89" s="36"/>
      <c r="AS89" s="41"/>
      <c r="AT89" s="36"/>
      <c r="AU89" s="36"/>
      <c r="AV89" s="36"/>
      <c r="AW89" s="33"/>
      <c r="AX89" s="36"/>
      <c r="AY89" s="36"/>
      <c r="AZ89" s="36"/>
      <c r="BA89" s="33"/>
      <c r="BB89" s="36"/>
      <c r="BC89" s="264"/>
      <c r="BD89" s="41"/>
      <c r="BE89" s="36"/>
      <c r="BF89" s="36"/>
      <c r="BG89" s="36"/>
      <c r="BH89" s="33"/>
      <c r="BI89" s="36"/>
      <c r="BJ89" s="36"/>
      <c r="BK89" s="36"/>
      <c r="BL89" s="33"/>
      <c r="BM89" s="36"/>
      <c r="BN89" s="264"/>
      <c r="BO89" s="41"/>
      <c r="BP89" s="36"/>
      <c r="BQ89" s="36"/>
      <c r="BR89" s="36"/>
      <c r="BS89" s="33"/>
      <c r="BT89" s="36"/>
      <c r="BU89" s="36"/>
      <c r="BV89" s="36"/>
      <c r="BW89" s="33"/>
      <c r="BX89" s="36"/>
      <c r="BY89" s="264"/>
      <c r="BZ89" s="41"/>
      <c r="CA89" s="36"/>
      <c r="CB89" s="36"/>
      <c r="CC89" s="36"/>
      <c r="CD89" s="33"/>
      <c r="CE89" s="36"/>
      <c r="CF89" s="36"/>
      <c r="CG89" s="36"/>
      <c r="CH89" s="33"/>
      <c r="CI89" s="36"/>
      <c r="CJ89" s="264"/>
      <c r="CK89" s="41"/>
      <c r="CL89" s="36"/>
      <c r="CM89" s="36"/>
      <c r="CN89" s="36"/>
      <c r="CO89" s="33"/>
      <c r="CP89" s="36"/>
      <c r="CQ89" s="36"/>
      <c r="CR89" s="36"/>
      <c r="CS89" s="33"/>
      <c r="CT89" s="36"/>
      <c r="CU89" s="264"/>
      <c r="CV89" s="41"/>
      <c r="CW89" s="36"/>
      <c r="CX89" s="36"/>
      <c r="CY89" s="36"/>
      <c r="CZ89" s="33"/>
      <c r="DA89" s="36"/>
      <c r="DB89" s="36"/>
      <c r="DC89" s="36"/>
      <c r="DD89" s="33"/>
      <c r="DE89" s="36"/>
      <c r="DF89" s="264"/>
      <c r="DG89" s="41"/>
      <c r="DH89" s="36"/>
      <c r="DI89" s="289"/>
      <c r="DJ89" s="36"/>
      <c r="DK89" s="33"/>
      <c r="DL89" s="36"/>
      <c r="DM89" s="36"/>
      <c r="DN89" s="36"/>
      <c r="DO89" s="33"/>
      <c r="DP89" s="36"/>
      <c r="DQ89" s="264"/>
    </row>
    <row r="90" spans="1:121" ht="21">
      <c r="A90" s="41"/>
      <c r="B90" s="36"/>
      <c r="C90" s="36"/>
      <c r="D90" s="36"/>
      <c r="E90" s="33"/>
      <c r="F90" s="36"/>
      <c r="G90" s="36"/>
      <c r="H90" s="36"/>
      <c r="I90" s="33"/>
      <c r="J90" s="36"/>
      <c r="K90" s="36"/>
      <c r="L90" s="41"/>
      <c r="M90" s="36"/>
      <c r="N90" s="36"/>
      <c r="O90" s="36"/>
      <c r="P90" s="33"/>
      <c r="Q90" s="36"/>
      <c r="R90" s="36"/>
      <c r="S90" s="36"/>
      <c r="T90" s="33"/>
      <c r="U90" s="36"/>
      <c r="V90" s="36"/>
      <c r="W90" s="41"/>
      <c r="X90" s="36"/>
      <c r="Y90" s="36"/>
      <c r="Z90" s="36"/>
      <c r="AA90" s="33"/>
      <c r="AB90" s="36"/>
      <c r="AC90" s="36"/>
      <c r="AD90" s="36"/>
      <c r="AE90" s="33"/>
      <c r="AF90" s="36"/>
      <c r="AG90" s="36"/>
      <c r="AH90" s="41"/>
      <c r="AI90" s="36"/>
      <c r="AJ90" s="36"/>
      <c r="AK90" s="36"/>
      <c r="AL90" s="33"/>
      <c r="AM90" s="36"/>
      <c r="AN90" s="36"/>
      <c r="AO90" s="36"/>
      <c r="AP90" s="33"/>
      <c r="AQ90" s="36"/>
      <c r="AR90" s="36"/>
      <c r="AS90" s="41"/>
      <c r="AT90" s="36"/>
      <c r="AU90" s="36"/>
      <c r="AV90" s="36"/>
      <c r="AW90" s="33"/>
      <c r="AX90" s="36"/>
      <c r="AY90" s="36"/>
      <c r="AZ90" s="36"/>
      <c r="BA90" s="33"/>
      <c r="BB90" s="36"/>
      <c r="BC90" s="264"/>
      <c r="BD90" s="41"/>
      <c r="BE90" s="36"/>
      <c r="BF90" s="36"/>
      <c r="BG90" s="36"/>
      <c r="BH90" s="33"/>
      <c r="BI90" s="36"/>
      <c r="BJ90" s="36"/>
      <c r="BK90" s="36"/>
      <c r="BL90" s="33"/>
      <c r="BM90" s="36"/>
      <c r="BN90" s="264"/>
      <c r="BO90" s="41"/>
      <c r="BP90" s="36"/>
      <c r="BQ90" s="36"/>
      <c r="BR90" s="36"/>
      <c r="BS90" s="33"/>
      <c r="BT90" s="36"/>
      <c r="BU90" s="36"/>
      <c r="BV90" s="36"/>
      <c r="BW90" s="33"/>
      <c r="BX90" s="36"/>
      <c r="BY90" s="264"/>
      <c r="BZ90" s="41"/>
      <c r="CA90" s="36"/>
      <c r="CB90" s="36"/>
      <c r="CC90" s="36"/>
      <c r="CD90" s="33"/>
      <c r="CE90" s="36"/>
      <c r="CF90" s="36"/>
      <c r="CG90" s="36"/>
      <c r="CH90" s="33"/>
      <c r="CI90" s="36"/>
      <c r="CJ90" s="264"/>
      <c r="CK90" s="41"/>
      <c r="CL90" s="36"/>
      <c r="CM90" s="36"/>
      <c r="CN90" s="36"/>
      <c r="CO90" s="33"/>
      <c r="CP90" s="36"/>
      <c r="CQ90" s="36"/>
      <c r="CR90" s="36"/>
      <c r="CS90" s="33"/>
      <c r="CT90" s="36"/>
      <c r="CU90" s="264"/>
      <c r="CV90" s="41"/>
      <c r="CW90" s="36"/>
      <c r="CX90" s="36"/>
      <c r="CY90" s="36"/>
      <c r="CZ90" s="33"/>
      <c r="DA90" s="36"/>
      <c r="DB90" s="36"/>
      <c r="DC90" s="36"/>
      <c r="DD90" s="33"/>
      <c r="DE90" s="36"/>
      <c r="DF90" s="264"/>
      <c r="DG90" s="41"/>
      <c r="DH90" s="36"/>
      <c r="DI90" s="289"/>
      <c r="DJ90" s="36"/>
      <c r="DK90" s="33"/>
      <c r="DL90" s="36"/>
      <c r="DM90" s="36"/>
      <c r="DN90" s="36"/>
      <c r="DO90" s="33"/>
      <c r="DP90" s="36"/>
      <c r="DQ90" s="264"/>
    </row>
    <row r="91" spans="1:121" ht="21">
      <c r="A91" s="41"/>
      <c r="B91" s="36"/>
      <c r="C91" s="36"/>
      <c r="D91" s="36"/>
      <c r="E91" s="33"/>
      <c r="F91" s="36"/>
      <c r="G91" s="36"/>
      <c r="H91" s="36"/>
      <c r="I91" s="33"/>
      <c r="J91" s="36"/>
      <c r="K91" s="36"/>
      <c r="L91" s="41"/>
      <c r="M91" s="36"/>
      <c r="N91" s="36"/>
      <c r="O91" s="36"/>
      <c r="P91" s="33"/>
      <c r="Q91" s="36"/>
      <c r="R91" s="36"/>
      <c r="S91" s="36"/>
      <c r="T91" s="33"/>
      <c r="U91" s="36"/>
      <c r="V91" s="36"/>
      <c r="W91" s="41"/>
      <c r="X91" s="36"/>
      <c r="Y91" s="36"/>
      <c r="Z91" s="36"/>
      <c r="AA91" s="33"/>
      <c r="AB91" s="36"/>
      <c r="AC91" s="36"/>
      <c r="AD91" s="36"/>
      <c r="AE91" s="33"/>
      <c r="AF91" s="36"/>
      <c r="AG91" s="36"/>
      <c r="AH91" s="41"/>
      <c r="AI91" s="36"/>
      <c r="AJ91" s="36"/>
      <c r="AK91" s="36"/>
      <c r="AL91" s="33"/>
      <c r="AM91" s="36"/>
      <c r="AN91" s="36"/>
      <c r="AO91" s="36"/>
      <c r="AP91" s="33"/>
      <c r="AQ91" s="36"/>
      <c r="AR91" s="36"/>
      <c r="AS91" s="41"/>
      <c r="AT91" s="36"/>
      <c r="AU91" s="36"/>
      <c r="AV91" s="36"/>
      <c r="AW91" s="33"/>
      <c r="AX91" s="36"/>
      <c r="AY91" s="36"/>
      <c r="AZ91" s="36"/>
      <c r="BA91" s="33"/>
      <c r="BB91" s="36"/>
      <c r="BC91" s="264"/>
      <c r="BD91" s="41"/>
      <c r="BE91" s="36"/>
      <c r="BF91" s="36"/>
      <c r="BG91" s="36"/>
      <c r="BH91" s="33"/>
      <c r="BI91" s="36"/>
      <c r="BJ91" s="36"/>
      <c r="BK91" s="36"/>
      <c r="BL91" s="33"/>
      <c r="BM91" s="36"/>
      <c r="BN91" s="264"/>
      <c r="BO91" s="41"/>
      <c r="BP91" s="36"/>
      <c r="BQ91" s="36"/>
      <c r="BR91" s="36"/>
      <c r="BS91" s="33"/>
      <c r="BT91" s="36"/>
      <c r="BU91" s="36"/>
      <c r="BV91" s="36"/>
      <c r="BW91" s="33"/>
      <c r="BX91" s="36"/>
      <c r="BY91" s="264"/>
      <c r="BZ91" s="41"/>
      <c r="CA91" s="36"/>
      <c r="CB91" s="36"/>
      <c r="CC91" s="36"/>
      <c r="CD91" s="33"/>
      <c r="CE91" s="36"/>
      <c r="CF91" s="36"/>
      <c r="CG91" s="36"/>
      <c r="CH91" s="33"/>
      <c r="CI91" s="36"/>
      <c r="CJ91" s="264"/>
      <c r="CK91" s="41"/>
      <c r="CL91" s="36"/>
      <c r="CM91" s="36"/>
      <c r="CN91" s="36"/>
      <c r="CO91" s="33"/>
      <c r="CP91" s="36"/>
      <c r="CQ91" s="36"/>
      <c r="CR91" s="36"/>
      <c r="CS91" s="33"/>
      <c r="CT91" s="36"/>
      <c r="CU91" s="264"/>
      <c r="CV91" s="41"/>
      <c r="CW91" s="36"/>
      <c r="CX91" s="36"/>
      <c r="CY91" s="36"/>
      <c r="CZ91" s="33"/>
      <c r="DA91" s="36"/>
      <c r="DB91" s="36"/>
      <c r="DC91" s="36"/>
      <c r="DD91" s="33"/>
      <c r="DE91" s="36"/>
      <c r="DF91" s="264"/>
      <c r="DG91" s="41"/>
      <c r="DH91" s="36"/>
      <c r="DI91" s="289"/>
      <c r="DJ91" s="36"/>
      <c r="DK91" s="33"/>
      <c r="DL91" s="36"/>
      <c r="DM91" s="36"/>
      <c r="DN91" s="36"/>
      <c r="DO91" s="33"/>
      <c r="DP91" s="36"/>
      <c r="DQ91" s="264"/>
    </row>
    <row r="92" spans="1:121" ht="21">
      <c r="A92" s="41"/>
      <c r="B92" s="36"/>
      <c r="C92" s="36"/>
      <c r="D92" s="36"/>
      <c r="E92" s="33"/>
      <c r="F92" s="36"/>
      <c r="G92" s="36"/>
      <c r="H92" s="36"/>
      <c r="I92" s="33"/>
      <c r="J92" s="36"/>
      <c r="K92" s="36"/>
      <c r="L92" s="41"/>
      <c r="M92" s="36"/>
      <c r="N92" s="36"/>
      <c r="O92" s="36"/>
      <c r="P92" s="33"/>
      <c r="Q92" s="36"/>
      <c r="R92" s="36"/>
      <c r="S92" s="36"/>
      <c r="T92" s="33"/>
      <c r="U92" s="36"/>
      <c r="V92" s="36"/>
      <c r="W92" s="41"/>
      <c r="X92" s="36"/>
      <c r="Y92" s="36"/>
      <c r="Z92" s="36"/>
      <c r="AA92" s="33"/>
      <c r="AB92" s="36"/>
      <c r="AC92" s="36"/>
      <c r="AD92" s="36"/>
      <c r="AE92" s="33"/>
      <c r="AF92" s="36"/>
      <c r="AG92" s="36"/>
      <c r="AH92" s="41"/>
      <c r="AI92" s="36"/>
      <c r="AJ92" s="36"/>
      <c r="AK92" s="36"/>
      <c r="AL92" s="33"/>
      <c r="AM92" s="36"/>
      <c r="AN92" s="36"/>
      <c r="AO92" s="36"/>
      <c r="AP92" s="33"/>
      <c r="AQ92" s="36"/>
      <c r="AR92" s="36"/>
      <c r="AS92" s="41"/>
      <c r="AT92" s="36"/>
      <c r="AU92" s="36"/>
      <c r="AV92" s="36"/>
      <c r="AW92" s="33"/>
      <c r="AX92" s="36"/>
      <c r="AY92" s="36"/>
      <c r="AZ92" s="36"/>
      <c r="BA92" s="33"/>
      <c r="BB92" s="36"/>
      <c r="BC92" s="264"/>
      <c r="BD92" s="41"/>
      <c r="BE92" s="36"/>
      <c r="BF92" s="36"/>
      <c r="BG92" s="36"/>
      <c r="BH92" s="33"/>
      <c r="BI92" s="36"/>
      <c r="BJ92" s="36"/>
      <c r="BK92" s="36"/>
      <c r="BL92" s="33"/>
      <c r="BM92" s="36"/>
      <c r="BN92" s="264"/>
      <c r="BO92" s="41"/>
      <c r="BP92" s="36"/>
      <c r="BQ92" s="36"/>
      <c r="BR92" s="36"/>
      <c r="BS92" s="33"/>
      <c r="BT92" s="36"/>
      <c r="BU92" s="36"/>
      <c r="BV92" s="36"/>
      <c r="BW92" s="33"/>
      <c r="BX92" s="36"/>
      <c r="BY92" s="264"/>
      <c r="BZ92" s="41"/>
      <c r="CA92" s="36"/>
      <c r="CB92" s="36"/>
      <c r="CC92" s="36"/>
      <c r="CD92" s="33"/>
      <c r="CE92" s="36"/>
      <c r="CF92" s="36"/>
      <c r="CG92" s="36"/>
      <c r="CH92" s="33"/>
      <c r="CI92" s="36"/>
      <c r="CJ92" s="264"/>
      <c r="CK92" s="41"/>
      <c r="CL92" s="36"/>
      <c r="CM92" s="36"/>
      <c r="CN92" s="36"/>
      <c r="CO92" s="33"/>
      <c r="CP92" s="36"/>
      <c r="CQ92" s="36"/>
      <c r="CR92" s="36"/>
      <c r="CS92" s="33"/>
      <c r="CT92" s="36"/>
      <c r="CU92" s="264"/>
      <c r="CV92" s="41"/>
      <c r="CW92" s="36"/>
      <c r="CX92" s="36"/>
      <c r="CY92" s="36"/>
      <c r="CZ92" s="33"/>
      <c r="DA92" s="36"/>
      <c r="DB92" s="36"/>
      <c r="DC92" s="36"/>
      <c r="DD92" s="33"/>
      <c r="DE92" s="36"/>
      <c r="DF92" s="264"/>
      <c r="DG92" s="41"/>
      <c r="DH92" s="36"/>
      <c r="DI92" s="289"/>
      <c r="DJ92" s="36"/>
      <c r="DK92" s="33"/>
      <c r="DL92" s="36"/>
      <c r="DM92" s="36"/>
      <c r="DN92" s="36"/>
      <c r="DO92" s="33"/>
      <c r="DP92" s="36"/>
      <c r="DQ92" s="264"/>
    </row>
    <row r="93" spans="1:121" ht="21">
      <c r="A93" s="41"/>
      <c r="B93" s="36"/>
      <c r="C93" s="36"/>
      <c r="D93" s="36"/>
      <c r="E93" s="33"/>
      <c r="F93" s="36"/>
      <c r="G93" s="36"/>
      <c r="H93" s="36"/>
      <c r="I93" s="33"/>
      <c r="J93" s="36"/>
      <c r="K93" s="36"/>
      <c r="L93" s="41"/>
      <c r="M93" s="36"/>
      <c r="N93" s="36"/>
      <c r="O93" s="36"/>
      <c r="P93" s="33"/>
      <c r="Q93" s="36"/>
      <c r="R93" s="36"/>
      <c r="S93" s="36"/>
      <c r="T93" s="33"/>
      <c r="U93" s="36"/>
      <c r="V93" s="36"/>
      <c r="W93" s="41"/>
      <c r="X93" s="36"/>
      <c r="Y93" s="36"/>
      <c r="Z93" s="36"/>
      <c r="AA93" s="33"/>
      <c r="AB93" s="36"/>
      <c r="AC93" s="36"/>
      <c r="AD93" s="36"/>
      <c r="AE93" s="33"/>
      <c r="AF93" s="36"/>
      <c r="AG93" s="36"/>
      <c r="AH93" s="41"/>
      <c r="AI93" s="36"/>
      <c r="AJ93" s="36"/>
      <c r="AK93" s="36"/>
      <c r="AL93" s="33"/>
      <c r="AM93" s="36"/>
      <c r="AN93" s="36"/>
      <c r="AO93" s="36"/>
      <c r="AP93" s="33"/>
      <c r="AQ93" s="36"/>
      <c r="AR93" s="36"/>
      <c r="AS93" s="41"/>
      <c r="AT93" s="36"/>
      <c r="AU93" s="36"/>
      <c r="AV93" s="36"/>
      <c r="AW93" s="33"/>
      <c r="AX93" s="36"/>
      <c r="AY93" s="36"/>
      <c r="AZ93" s="36"/>
      <c r="BA93" s="33"/>
      <c r="BB93" s="36"/>
      <c r="BC93" s="264"/>
      <c r="BD93" s="41"/>
      <c r="BE93" s="36"/>
      <c r="BF93" s="36"/>
      <c r="BG93" s="36"/>
      <c r="BH93" s="33"/>
      <c r="BI93" s="36"/>
      <c r="BJ93" s="36"/>
      <c r="BK93" s="36"/>
      <c r="BL93" s="33"/>
      <c r="BM93" s="36"/>
      <c r="BN93" s="264"/>
      <c r="BO93" s="41"/>
      <c r="BP93" s="36"/>
      <c r="BQ93" s="36"/>
      <c r="BR93" s="36"/>
      <c r="BS93" s="33"/>
      <c r="BT93" s="36"/>
      <c r="BU93" s="36"/>
      <c r="BV93" s="36"/>
      <c r="BW93" s="33"/>
      <c r="BX93" s="36"/>
      <c r="BY93" s="264"/>
      <c r="BZ93" s="41"/>
      <c r="CA93" s="36"/>
      <c r="CB93" s="36"/>
      <c r="CC93" s="36"/>
      <c r="CD93" s="33"/>
      <c r="CE93" s="36"/>
      <c r="CF93" s="36"/>
      <c r="CG93" s="36"/>
      <c r="CH93" s="33"/>
      <c r="CI93" s="36"/>
      <c r="CJ93" s="264"/>
      <c r="CK93" s="41"/>
      <c r="CL93" s="36"/>
      <c r="CM93" s="36"/>
      <c r="CN93" s="36"/>
      <c r="CO93" s="33"/>
      <c r="CP93" s="36"/>
      <c r="CQ93" s="36"/>
      <c r="CR93" s="36"/>
      <c r="CS93" s="33"/>
      <c r="CT93" s="36"/>
      <c r="CU93" s="264"/>
      <c r="CV93" s="41"/>
      <c r="CW93" s="36"/>
      <c r="CX93" s="36"/>
      <c r="CY93" s="36"/>
      <c r="CZ93" s="33"/>
      <c r="DA93" s="36"/>
      <c r="DB93" s="36"/>
      <c r="DC93" s="36"/>
      <c r="DD93" s="33"/>
      <c r="DE93" s="36"/>
      <c r="DF93" s="264"/>
      <c r="DG93" s="41"/>
      <c r="DH93" s="36"/>
      <c r="DI93" s="289"/>
      <c r="DJ93" s="36"/>
      <c r="DK93" s="33"/>
      <c r="DL93" s="36"/>
      <c r="DM93" s="36"/>
      <c r="DN93" s="36"/>
      <c r="DO93" s="33"/>
      <c r="DP93" s="36"/>
      <c r="DQ93" s="264"/>
    </row>
    <row r="94" spans="1:121" ht="21">
      <c r="A94" s="41"/>
      <c r="B94" s="36"/>
      <c r="C94" s="36"/>
      <c r="D94" s="36"/>
      <c r="E94" s="33"/>
      <c r="F94" s="36"/>
      <c r="G94" s="36"/>
      <c r="H94" s="36"/>
      <c r="I94" s="33"/>
      <c r="J94" s="36"/>
      <c r="K94" s="36"/>
      <c r="L94" s="41"/>
      <c r="M94" s="36"/>
      <c r="N94" s="36"/>
      <c r="O94" s="36"/>
      <c r="P94" s="33"/>
      <c r="Q94" s="36"/>
      <c r="R94" s="36"/>
      <c r="S94" s="36"/>
      <c r="T94" s="33"/>
      <c r="U94" s="36"/>
      <c r="V94" s="36"/>
      <c r="W94" s="41"/>
      <c r="X94" s="36"/>
      <c r="Y94" s="36"/>
      <c r="Z94" s="36"/>
      <c r="AA94" s="33"/>
      <c r="AB94" s="36"/>
      <c r="AC94" s="36"/>
      <c r="AD94" s="36"/>
      <c r="AE94" s="33"/>
      <c r="AF94" s="36"/>
      <c r="AG94" s="36"/>
      <c r="AH94" s="41"/>
      <c r="AI94" s="36"/>
      <c r="AJ94" s="36"/>
      <c r="AK94" s="36"/>
      <c r="AL94" s="33"/>
      <c r="AM94" s="36"/>
      <c r="AN94" s="36"/>
      <c r="AO94" s="36"/>
      <c r="AP94" s="33"/>
      <c r="AQ94" s="36"/>
      <c r="AR94" s="36"/>
      <c r="AS94" s="41"/>
      <c r="AT94" s="36"/>
      <c r="AU94" s="36"/>
      <c r="AV94" s="36"/>
      <c r="AW94" s="33"/>
      <c r="AX94" s="36"/>
      <c r="AY94" s="36"/>
      <c r="AZ94" s="36"/>
      <c r="BA94" s="33"/>
      <c r="BB94" s="36"/>
      <c r="BC94" s="264"/>
      <c r="BD94" s="41"/>
      <c r="BE94" s="36"/>
      <c r="BF94" s="36"/>
      <c r="BG94" s="36"/>
      <c r="BH94" s="33"/>
      <c r="BI94" s="36"/>
      <c r="BJ94" s="36"/>
      <c r="BK94" s="36"/>
      <c r="BL94" s="33"/>
      <c r="BM94" s="36"/>
      <c r="BN94" s="264"/>
      <c r="BO94" s="41"/>
      <c r="BP94" s="36"/>
      <c r="BQ94" s="36"/>
      <c r="BR94" s="36"/>
      <c r="BS94" s="33"/>
      <c r="BT94" s="36"/>
      <c r="BU94" s="36"/>
      <c r="BV94" s="36"/>
      <c r="BW94" s="33"/>
      <c r="BX94" s="36"/>
      <c r="BY94" s="264"/>
      <c r="BZ94" s="41"/>
      <c r="CA94" s="36"/>
      <c r="CB94" s="36"/>
      <c r="CC94" s="36"/>
      <c r="CD94" s="33"/>
      <c r="CE94" s="36"/>
      <c r="CF94" s="36"/>
      <c r="CG94" s="36"/>
      <c r="CH94" s="33"/>
      <c r="CI94" s="36"/>
      <c r="CJ94" s="264"/>
      <c r="CK94" s="41"/>
      <c r="CL94" s="36"/>
      <c r="CM94" s="36"/>
      <c r="CN94" s="36"/>
      <c r="CO94" s="33"/>
      <c r="CP94" s="36"/>
      <c r="CQ94" s="36"/>
      <c r="CR94" s="36"/>
      <c r="CS94" s="33"/>
      <c r="CT94" s="36"/>
      <c r="CU94" s="264"/>
      <c r="CV94" s="41"/>
      <c r="CW94" s="36"/>
      <c r="CX94" s="36"/>
      <c r="CY94" s="36"/>
      <c r="CZ94" s="33"/>
      <c r="DA94" s="36"/>
      <c r="DB94" s="36"/>
      <c r="DC94" s="36"/>
      <c r="DD94" s="33"/>
      <c r="DE94" s="36"/>
      <c r="DF94" s="264"/>
      <c r="DG94" s="41"/>
      <c r="DH94" s="36"/>
      <c r="DI94" s="289"/>
      <c r="DJ94" s="36"/>
      <c r="DK94" s="33"/>
      <c r="DL94" s="36"/>
      <c r="DM94" s="36"/>
      <c r="DN94" s="36"/>
      <c r="DO94" s="33"/>
      <c r="DP94" s="36"/>
      <c r="DQ94" s="264"/>
    </row>
    <row r="95" spans="1:121" ht="21">
      <c r="A95" s="41"/>
      <c r="B95" s="36"/>
      <c r="C95" s="36"/>
      <c r="D95" s="36"/>
      <c r="E95" s="33"/>
      <c r="F95" s="36"/>
      <c r="G95" s="36"/>
      <c r="H95" s="36"/>
      <c r="I95" s="33"/>
      <c r="J95" s="36"/>
      <c r="K95" s="36"/>
      <c r="L95" s="41"/>
      <c r="M95" s="36"/>
      <c r="N95" s="36"/>
      <c r="O95" s="36"/>
      <c r="P95" s="33"/>
      <c r="Q95" s="36"/>
      <c r="R95" s="36"/>
      <c r="S95" s="36"/>
      <c r="T95" s="33"/>
      <c r="U95" s="36"/>
      <c r="V95" s="36"/>
      <c r="W95" s="41"/>
      <c r="X95" s="36"/>
      <c r="Y95" s="36"/>
      <c r="Z95" s="36"/>
      <c r="AA95" s="33"/>
      <c r="AB95" s="36"/>
      <c r="AC95" s="36"/>
      <c r="AD95" s="36"/>
      <c r="AE95" s="33"/>
      <c r="AF95" s="36"/>
      <c r="AG95" s="36"/>
      <c r="AH95" s="41"/>
      <c r="AI95" s="36"/>
      <c r="AJ95" s="36"/>
      <c r="AK95" s="36"/>
      <c r="AL95" s="33"/>
      <c r="AM95" s="36"/>
      <c r="AN95" s="36"/>
      <c r="AO95" s="36"/>
      <c r="AP95" s="33"/>
      <c r="AQ95" s="36"/>
      <c r="AR95" s="36"/>
      <c r="AS95" s="41"/>
      <c r="AT95" s="36"/>
      <c r="AU95" s="36"/>
      <c r="AV95" s="36"/>
      <c r="AW95" s="33"/>
      <c r="AX95" s="36"/>
      <c r="AY95" s="36"/>
      <c r="AZ95" s="36"/>
      <c r="BA95" s="33"/>
      <c r="BB95" s="36"/>
      <c r="BC95" s="264"/>
      <c r="BD95" s="41"/>
      <c r="BE95" s="36"/>
      <c r="BF95" s="36"/>
      <c r="BG95" s="36"/>
      <c r="BH95" s="33"/>
      <c r="BI95" s="36"/>
      <c r="BJ95" s="36"/>
      <c r="BK95" s="36"/>
      <c r="BL95" s="33"/>
      <c r="BM95" s="36"/>
      <c r="BN95" s="264"/>
      <c r="BO95" s="41"/>
      <c r="BP95" s="36"/>
      <c r="BQ95" s="36"/>
      <c r="BR95" s="36"/>
      <c r="BS95" s="33"/>
      <c r="BT95" s="36"/>
      <c r="BU95" s="36"/>
      <c r="BV95" s="36"/>
      <c r="BW95" s="33"/>
      <c r="BX95" s="36"/>
      <c r="BY95" s="264"/>
      <c r="BZ95" s="41"/>
      <c r="CA95" s="36"/>
      <c r="CB95" s="36"/>
      <c r="CC95" s="36"/>
      <c r="CD95" s="33"/>
      <c r="CE95" s="36"/>
      <c r="CF95" s="36"/>
      <c r="CG95" s="36"/>
      <c r="CH95" s="33"/>
      <c r="CI95" s="36"/>
      <c r="CJ95" s="264"/>
      <c r="CK95" s="41"/>
      <c r="CL95" s="36"/>
      <c r="CM95" s="36"/>
      <c r="CN95" s="36"/>
      <c r="CO95" s="33"/>
      <c r="CP95" s="36"/>
      <c r="CQ95" s="36"/>
      <c r="CR95" s="36"/>
      <c r="CS95" s="33"/>
      <c r="CT95" s="36"/>
      <c r="CU95" s="264"/>
      <c r="CV95" s="41"/>
      <c r="CW95" s="36"/>
      <c r="CX95" s="36"/>
      <c r="CY95" s="36"/>
      <c r="CZ95" s="33"/>
      <c r="DA95" s="36"/>
      <c r="DB95" s="36"/>
      <c r="DC95" s="36"/>
      <c r="DD95" s="33"/>
      <c r="DE95" s="36"/>
      <c r="DF95" s="264"/>
      <c r="DG95" s="41"/>
      <c r="DH95" s="36"/>
      <c r="DI95" s="289"/>
      <c r="DJ95" s="36"/>
      <c r="DK95" s="33"/>
      <c r="DL95" s="36"/>
      <c r="DM95" s="36"/>
      <c r="DN95" s="36"/>
      <c r="DO95" s="33"/>
      <c r="DP95" s="36"/>
      <c r="DQ95" s="264"/>
    </row>
    <row r="96" spans="1:121" ht="21">
      <c r="A96" s="41"/>
      <c r="B96" s="36"/>
      <c r="C96" s="36"/>
      <c r="D96" s="36"/>
      <c r="E96" s="33"/>
      <c r="F96" s="36"/>
      <c r="G96" s="36"/>
      <c r="H96" s="36"/>
      <c r="I96" s="33"/>
      <c r="J96" s="36"/>
      <c r="K96" s="36"/>
      <c r="L96" s="41"/>
      <c r="M96" s="36"/>
      <c r="N96" s="36"/>
      <c r="O96" s="36"/>
      <c r="P96" s="33"/>
      <c r="Q96" s="36"/>
      <c r="R96" s="36"/>
      <c r="S96" s="36"/>
      <c r="T96" s="33"/>
      <c r="U96" s="36"/>
      <c r="V96" s="36"/>
      <c r="W96" s="41"/>
      <c r="X96" s="36"/>
      <c r="Y96" s="36"/>
      <c r="Z96" s="36"/>
      <c r="AA96" s="33"/>
      <c r="AB96" s="36"/>
      <c r="AC96" s="36"/>
      <c r="AD96" s="36"/>
      <c r="AE96" s="33"/>
      <c r="AF96" s="36"/>
      <c r="AG96" s="36"/>
      <c r="AH96" s="41"/>
      <c r="AI96" s="36"/>
      <c r="AJ96" s="36"/>
      <c r="AK96" s="36"/>
      <c r="AL96" s="33"/>
      <c r="AM96" s="36"/>
      <c r="AN96" s="36"/>
      <c r="AO96" s="36"/>
      <c r="AP96" s="33"/>
      <c r="AQ96" s="36"/>
      <c r="AR96" s="36"/>
      <c r="AS96" s="41"/>
      <c r="AT96" s="36"/>
      <c r="AU96" s="36"/>
      <c r="AV96" s="36"/>
      <c r="AW96" s="33"/>
      <c r="AX96" s="36"/>
      <c r="AY96" s="36"/>
      <c r="AZ96" s="36"/>
      <c r="BA96" s="33"/>
      <c r="BB96" s="36"/>
      <c r="BC96" s="264"/>
      <c r="BD96" s="41"/>
      <c r="BE96" s="36"/>
      <c r="BF96" s="36"/>
      <c r="BG96" s="36"/>
      <c r="BH96" s="33"/>
      <c r="BI96" s="36"/>
      <c r="BJ96" s="36"/>
      <c r="BK96" s="36"/>
      <c r="BL96" s="33"/>
      <c r="BM96" s="36"/>
      <c r="BN96" s="264"/>
      <c r="BO96" s="41"/>
      <c r="BP96" s="36"/>
      <c r="BQ96" s="36"/>
      <c r="BR96" s="36"/>
      <c r="BS96" s="33"/>
      <c r="BT96" s="36"/>
      <c r="BU96" s="36"/>
      <c r="BV96" s="36"/>
      <c r="BW96" s="33"/>
      <c r="BX96" s="36"/>
      <c r="BY96" s="264"/>
      <c r="BZ96" s="41"/>
      <c r="CA96" s="36"/>
      <c r="CB96" s="36"/>
      <c r="CC96" s="36"/>
      <c r="CD96" s="33"/>
      <c r="CE96" s="36"/>
      <c r="CF96" s="36"/>
      <c r="CG96" s="36"/>
      <c r="CH96" s="33"/>
      <c r="CI96" s="36"/>
      <c r="CJ96" s="264"/>
      <c r="CK96" s="41"/>
      <c r="CL96" s="36"/>
      <c r="CM96" s="36"/>
      <c r="CN96" s="36"/>
      <c r="CO96" s="33"/>
      <c r="CP96" s="36"/>
      <c r="CQ96" s="36"/>
      <c r="CR96" s="36"/>
      <c r="CS96" s="33"/>
      <c r="CT96" s="36"/>
      <c r="CU96" s="264"/>
      <c r="CV96" s="41"/>
      <c r="CW96" s="36"/>
      <c r="CX96" s="36"/>
      <c r="CY96" s="36"/>
      <c r="CZ96" s="33"/>
      <c r="DA96" s="36"/>
      <c r="DB96" s="36"/>
      <c r="DC96" s="36"/>
      <c r="DD96" s="33"/>
      <c r="DE96" s="36"/>
      <c r="DF96" s="264"/>
      <c r="DG96" s="41"/>
      <c r="DH96" s="36"/>
      <c r="DI96" s="289"/>
      <c r="DJ96" s="36"/>
      <c r="DK96" s="33"/>
      <c r="DL96" s="36"/>
      <c r="DM96" s="36"/>
      <c r="DN96" s="36"/>
      <c r="DO96" s="33"/>
      <c r="DP96" s="36"/>
      <c r="DQ96" s="264"/>
    </row>
    <row r="97" spans="1:121" ht="21">
      <c r="A97" s="41"/>
      <c r="B97" s="36"/>
      <c r="C97" s="36"/>
      <c r="D97" s="36"/>
      <c r="E97" s="33"/>
      <c r="F97" s="36"/>
      <c r="G97" s="36"/>
      <c r="H97" s="36"/>
      <c r="I97" s="33"/>
      <c r="J97" s="36"/>
      <c r="K97" s="36"/>
      <c r="L97" s="41"/>
      <c r="M97" s="36"/>
      <c r="N97" s="36"/>
      <c r="O97" s="36"/>
      <c r="P97" s="33"/>
      <c r="Q97" s="36"/>
      <c r="R97" s="36"/>
      <c r="S97" s="36"/>
      <c r="T97" s="33"/>
      <c r="U97" s="36"/>
      <c r="V97" s="36"/>
      <c r="W97" s="41"/>
      <c r="X97" s="36"/>
      <c r="Y97" s="36"/>
      <c r="Z97" s="36"/>
      <c r="AA97" s="33"/>
      <c r="AB97" s="36"/>
      <c r="AC97" s="36"/>
      <c r="AD97" s="36"/>
      <c r="AE97" s="33"/>
      <c r="AF97" s="36"/>
      <c r="AG97" s="36"/>
      <c r="AH97" s="41"/>
      <c r="AI97" s="36"/>
      <c r="AJ97" s="36"/>
      <c r="AK97" s="36"/>
      <c r="AL97" s="33"/>
      <c r="AM97" s="36"/>
      <c r="AN97" s="36"/>
      <c r="AO97" s="36"/>
      <c r="AP97" s="33"/>
      <c r="AQ97" s="36"/>
      <c r="AR97" s="36"/>
      <c r="AS97" s="41"/>
      <c r="AT97" s="36"/>
      <c r="AU97" s="36"/>
      <c r="AV97" s="36"/>
      <c r="AW97" s="33"/>
      <c r="AX97" s="36"/>
      <c r="AY97" s="36"/>
      <c r="AZ97" s="36"/>
      <c r="BA97" s="33"/>
      <c r="BB97" s="36"/>
      <c r="BC97" s="264"/>
      <c r="BD97" s="41"/>
      <c r="BE97" s="36"/>
      <c r="BF97" s="36"/>
      <c r="BG97" s="36"/>
      <c r="BH97" s="33"/>
      <c r="BI97" s="36"/>
      <c r="BJ97" s="36"/>
      <c r="BK97" s="36"/>
      <c r="BL97" s="33"/>
      <c r="BM97" s="36"/>
      <c r="BN97" s="264"/>
      <c r="BO97" s="41"/>
      <c r="BP97" s="36"/>
      <c r="BQ97" s="36"/>
      <c r="BR97" s="36"/>
      <c r="BS97" s="33"/>
      <c r="BT97" s="36"/>
      <c r="BU97" s="36"/>
      <c r="BV97" s="36"/>
      <c r="BW97" s="33"/>
      <c r="BX97" s="36"/>
      <c r="BY97" s="264"/>
      <c r="BZ97" s="41"/>
      <c r="CA97" s="36"/>
      <c r="CB97" s="36"/>
      <c r="CC97" s="36"/>
      <c r="CD97" s="33"/>
      <c r="CE97" s="36"/>
      <c r="CF97" s="36"/>
      <c r="CG97" s="36"/>
      <c r="CH97" s="33"/>
      <c r="CI97" s="36"/>
      <c r="CJ97" s="264"/>
      <c r="CK97" s="41"/>
      <c r="CL97" s="36"/>
      <c r="CM97" s="36"/>
      <c r="CN97" s="36"/>
      <c r="CO97" s="33"/>
      <c r="CP97" s="36"/>
      <c r="CQ97" s="36"/>
      <c r="CR97" s="36"/>
      <c r="CS97" s="33"/>
      <c r="CT97" s="36"/>
      <c r="CU97" s="264"/>
      <c r="CV97" s="41"/>
      <c r="CW97" s="36"/>
      <c r="CX97" s="36"/>
      <c r="CY97" s="36"/>
      <c r="CZ97" s="33"/>
      <c r="DA97" s="36"/>
      <c r="DB97" s="36"/>
      <c r="DC97" s="36"/>
      <c r="DD97" s="33"/>
      <c r="DE97" s="36"/>
      <c r="DF97" s="264"/>
      <c r="DG97" s="41"/>
      <c r="DH97" s="36"/>
      <c r="DI97" s="289"/>
      <c r="DJ97" s="36"/>
      <c r="DK97" s="33"/>
      <c r="DL97" s="36"/>
      <c r="DM97" s="36"/>
      <c r="DN97" s="36"/>
      <c r="DO97" s="33"/>
      <c r="DP97" s="36"/>
      <c r="DQ97" s="264"/>
    </row>
    <row r="98" spans="1:111" ht="21">
      <c r="A98" s="21"/>
      <c r="L98" s="21"/>
      <c r="W98" s="21"/>
      <c r="AH98" s="21"/>
      <c r="AS98" s="21"/>
      <c r="BD98" s="21"/>
      <c r="BO98" s="21"/>
      <c r="BZ98" s="21"/>
      <c r="CK98" s="21"/>
      <c r="CV98" s="21"/>
      <c r="DG98" s="21"/>
    </row>
    <row r="99" spans="1:111" ht="21">
      <c r="A99" s="21"/>
      <c r="L99" s="21"/>
      <c r="W99" s="21"/>
      <c r="AH99" s="21"/>
      <c r="AS99" s="21"/>
      <c r="BD99" s="21"/>
      <c r="BO99" s="21"/>
      <c r="BZ99" s="21"/>
      <c r="CK99" s="21"/>
      <c r="CV99" s="21"/>
      <c r="DG99" s="21"/>
    </row>
    <row r="100" spans="1:111" ht="21">
      <c r="A100" s="21"/>
      <c r="L100" s="21"/>
      <c r="W100" s="21"/>
      <c r="AH100" s="21"/>
      <c r="AS100" s="21"/>
      <c r="BD100" s="21"/>
      <c r="BO100" s="21"/>
      <c r="BZ100" s="21"/>
      <c r="CK100" s="21"/>
      <c r="CV100" s="21"/>
      <c r="DG100" s="21"/>
    </row>
    <row r="101" spans="1:111" ht="21">
      <c r="A101" s="21"/>
      <c r="L101" s="21"/>
      <c r="W101" s="21"/>
      <c r="AH101" s="21"/>
      <c r="AS101" s="21"/>
      <c r="BD101" s="21"/>
      <c r="BO101" s="21"/>
      <c r="BZ101" s="21"/>
      <c r="CK101" s="21"/>
      <c r="CV101" s="21"/>
      <c r="DG101" s="21"/>
    </row>
    <row r="102" spans="1:111" ht="21">
      <c r="A102" s="21"/>
      <c r="L102" s="21"/>
      <c r="W102" s="21"/>
      <c r="AH102" s="21"/>
      <c r="AS102" s="21"/>
      <c r="BD102" s="21"/>
      <c r="BO102" s="21"/>
      <c r="BZ102" s="21"/>
      <c r="CK102" s="21"/>
      <c r="CV102" s="21"/>
      <c r="DG102" s="21"/>
    </row>
    <row r="103" spans="1:111" ht="21">
      <c r="A103" s="21"/>
      <c r="L103" s="21"/>
      <c r="W103" s="21"/>
      <c r="AH103" s="21"/>
      <c r="AS103" s="21"/>
      <c r="BD103" s="21"/>
      <c r="BO103" s="21"/>
      <c r="BZ103" s="21"/>
      <c r="CK103" s="21"/>
      <c r="CV103" s="21"/>
      <c r="DG103" s="21"/>
    </row>
    <row r="104" spans="1:111" ht="21">
      <c r="A104" s="21"/>
      <c r="L104" s="21"/>
      <c r="W104" s="21"/>
      <c r="AH104" s="21"/>
      <c r="AS104" s="21"/>
      <c r="BD104" s="21"/>
      <c r="BO104" s="21"/>
      <c r="BZ104" s="21"/>
      <c r="CK104" s="21"/>
      <c r="CV104" s="21"/>
      <c r="DG104" s="21"/>
    </row>
    <row r="105" spans="2:121" ht="21">
      <c r="B105" s="32"/>
      <c r="C105" s="32"/>
      <c r="D105" s="32"/>
      <c r="E105" s="42"/>
      <c r="F105" s="32"/>
      <c r="G105" s="32"/>
      <c r="H105" s="32"/>
      <c r="I105" s="42"/>
      <c r="J105" s="32"/>
      <c r="K105" s="32"/>
      <c r="M105" s="32"/>
      <c r="N105" s="32"/>
      <c r="O105" s="32"/>
      <c r="P105" s="42"/>
      <c r="Q105" s="32"/>
      <c r="R105" s="32"/>
      <c r="S105" s="32"/>
      <c r="T105" s="42"/>
      <c r="U105" s="32"/>
      <c r="V105" s="32"/>
      <c r="X105" s="32"/>
      <c r="Y105" s="32"/>
      <c r="Z105" s="32"/>
      <c r="AA105" s="42"/>
      <c r="AB105" s="32"/>
      <c r="AC105" s="32"/>
      <c r="AD105" s="32"/>
      <c r="AE105" s="42"/>
      <c r="AF105" s="32"/>
      <c r="AG105" s="32"/>
      <c r="AI105" s="32"/>
      <c r="AJ105" s="32"/>
      <c r="AK105" s="32"/>
      <c r="AL105" s="42"/>
      <c r="AM105" s="32"/>
      <c r="AN105" s="32"/>
      <c r="AO105" s="32"/>
      <c r="AP105" s="42"/>
      <c r="AQ105" s="32"/>
      <c r="AR105" s="32"/>
      <c r="AT105" s="32"/>
      <c r="AU105" s="32"/>
      <c r="AV105" s="32"/>
      <c r="AW105" s="42"/>
      <c r="AX105" s="32"/>
      <c r="AY105" s="32"/>
      <c r="AZ105" s="32"/>
      <c r="BA105" s="42"/>
      <c r="BB105" s="32"/>
      <c r="BC105" s="272"/>
      <c r="BE105" s="32"/>
      <c r="BF105" s="32"/>
      <c r="BG105" s="32"/>
      <c r="BH105" s="42"/>
      <c r="BI105" s="32"/>
      <c r="BJ105" s="32"/>
      <c r="BK105" s="32"/>
      <c r="BL105" s="42"/>
      <c r="BM105" s="32"/>
      <c r="BN105" s="272"/>
      <c r="BP105" s="32"/>
      <c r="BQ105" s="32"/>
      <c r="BR105" s="32"/>
      <c r="BS105" s="42"/>
      <c r="BT105" s="32"/>
      <c r="BU105" s="32"/>
      <c r="BV105" s="32"/>
      <c r="BW105" s="42"/>
      <c r="BX105" s="32"/>
      <c r="BY105" s="272"/>
      <c r="CA105" s="32"/>
      <c r="CB105" s="32"/>
      <c r="CC105" s="32"/>
      <c r="CD105" s="42"/>
      <c r="CE105" s="32"/>
      <c r="CF105" s="32"/>
      <c r="CG105" s="32"/>
      <c r="CH105" s="42"/>
      <c r="CI105" s="32"/>
      <c r="CJ105" s="272"/>
      <c r="CL105" s="32"/>
      <c r="CM105" s="32"/>
      <c r="CN105" s="32"/>
      <c r="CO105" s="42"/>
      <c r="CP105" s="32"/>
      <c r="CQ105" s="32"/>
      <c r="CR105" s="32"/>
      <c r="CS105" s="42"/>
      <c r="CT105" s="32"/>
      <c r="CU105" s="272"/>
      <c r="CW105" s="32"/>
      <c r="CX105" s="32"/>
      <c r="CY105" s="32"/>
      <c r="CZ105" s="42"/>
      <c r="DA105" s="32"/>
      <c r="DB105" s="32"/>
      <c r="DC105" s="32"/>
      <c r="DD105" s="42"/>
      <c r="DE105" s="32"/>
      <c r="DF105" s="272"/>
      <c r="DH105" s="32"/>
      <c r="DI105" s="297"/>
      <c r="DJ105" s="32"/>
      <c r="DK105" s="42"/>
      <c r="DL105" s="32"/>
      <c r="DM105" s="32"/>
      <c r="DN105" s="32"/>
      <c r="DO105" s="42"/>
      <c r="DP105" s="32"/>
      <c r="DQ105" s="272"/>
    </row>
    <row r="106" spans="2:121" ht="2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273"/>
      <c r="BE106" s="42"/>
      <c r="BF106" s="42"/>
      <c r="BG106" s="42"/>
      <c r="BH106" s="42"/>
      <c r="BI106" s="42"/>
      <c r="BJ106" s="42"/>
      <c r="BK106" s="42"/>
      <c r="BL106" s="42"/>
      <c r="BM106" s="42"/>
      <c r="BN106" s="273"/>
      <c r="BP106" s="42"/>
      <c r="BQ106" s="42"/>
      <c r="BR106" s="42"/>
      <c r="BS106" s="42"/>
      <c r="BT106" s="42"/>
      <c r="BU106" s="42"/>
      <c r="BV106" s="42"/>
      <c r="BW106" s="42"/>
      <c r="BX106" s="42"/>
      <c r="BY106" s="273"/>
      <c r="CA106" s="42"/>
      <c r="CB106" s="42"/>
      <c r="CC106" s="42"/>
      <c r="CD106" s="42"/>
      <c r="CE106" s="42"/>
      <c r="CF106" s="42"/>
      <c r="CG106" s="42"/>
      <c r="CH106" s="42"/>
      <c r="CI106" s="42"/>
      <c r="CJ106" s="273"/>
      <c r="CL106" s="42"/>
      <c r="CM106" s="42"/>
      <c r="CN106" s="42"/>
      <c r="CO106" s="42"/>
      <c r="CP106" s="42"/>
      <c r="CQ106" s="42"/>
      <c r="CR106" s="42"/>
      <c r="CS106" s="42"/>
      <c r="CT106" s="42"/>
      <c r="CU106" s="273"/>
      <c r="CW106" s="42"/>
      <c r="CX106" s="42"/>
      <c r="CY106" s="42"/>
      <c r="CZ106" s="42"/>
      <c r="DA106" s="42"/>
      <c r="DB106" s="42"/>
      <c r="DC106" s="42"/>
      <c r="DD106" s="42"/>
      <c r="DE106" s="42"/>
      <c r="DF106" s="273"/>
      <c r="DH106" s="42"/>
      <c r="DI106" s="298"/>
      <c r="DJ106" s="42"/>
      <c r="DK106" s="42"/>
      <c r="DL106" s="42"/>
      <c r="DM106" s="42"/>
      <c r="DN106" s="42"/>
      <c r="DO106" s="42"/>
      <c r="DP106" s="42"/>
      <c r="DQ106" s="273"/>
    </row>
    <row r="107" spans="2:121" ht="2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273"/>
      <c r="BE107" s="42"/>
      <c r="BF107" s="42"/>
      <c r="BG107" s="42"/>
      <c r="BH107" s="42"/>
      <c r="BI107" s="42"/>
      <c r="BJ107" s="42"/>
      <c r="BK107" s="42"/>
      <c r="BL107" s="42"/>
      <c r="BM107" s="42"/>
      <c r="BN107" s="273"/>
      <c r="BP107" s="42"/>
      <c r="BQ107" s="42"/>
      <c r="BR107" s="42"/>
      <c r="BS107" s="42"/>
      <c r="BT107" s="42"/>
      <c r="BU107" s="42"/>
      <c r="BV107" s="42"/>
      <c r="BW107" s="42"/>
      <c r="BX107" s="42"/>
      <c r="BY107" s="273"/>
      <c r="CA107" s="42"/>
      <c r="CB107" s="42"/>
      <c r="CC107" s="42"/>
      <c r="CD107" s="42"/>
      <c r="CE107" s="42"/>
      <c r="CF107" s="42"/>
      <c r="CG107" s="42"/>
      <c r="CH107" s="42"/>
      <c r="CI107" s="42"/>
      <c r="CJ107" s="273"/>
      <c r="CL107" s="42"/>
      <c r="CM107" s="42"/>
      <c r="CN107" s="42"/>
      <c r="CO107" s="42"/>
      <c r="CP107" s="42"/>
      <c r="CQ107" s="42"/>
      <c r="CR107" s="42"/>
      <c r="CS107" s="42"/>
      <c r="CT107" s="42"/>
      <c r="CU107" s="273"/>
      <c r="CW107" s="42"/>
      <c r="CX107" s="42"/>
      <c r="CY107" s="42"/>
      <c r="CZ107" s="42"/>
      <c r="DA107" s="42"/>
      <c r="DB107" s="42"/>
      <c r="DC107" s="42"/>
      <c r="DD107" s="42"/>
      <c r="DE107" s="42"/>
      <c r="DF107" s="273"/>
      <c r="DH107" s="42"/>
      <c r="DI107" s="298"/>
      <c r="DJ107" s="42"/>
      <c r="DK107" s="42"/>
      <c r="DL107" s="42"/>
      <c r="DM107" s="42"/>
      <c r="DN107" s="42"/>
      <c r="DO107" s="42"/>
      <c r="DP107" s="42"/>
      <c r="DQ107" s="273"/>
    </row>
    <row r="108" spans="2:121" ht="2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273"/>
      <c r="BE108" s="42"/>
      <c r="BF108" s="42"/>
      <c r="BG108" s="42"/>
      <c r="BH108" s="42"/>
      <c r="BI108" s="42"/>
      <c r="BJ108" s="42"/>
      <c r="BK108" s="42"/>
      <c r="BL108" s="42"/>
      <c r="BM108" s="42"/>
      <c r="BN108" s="273"/>
      <c r="BP108" s="42"/>
      <c r="BQ108" s="42"/>
      <c r="BR108" s="42"/>
      <c r="BS108" s="42"/>
      <c r="BT108" s="42"/>
      <c r="BU108" s="42"/>
      <c r="BV108" s="42"/>
      <c r="BW108" s="42"/>
      <c r="BX108" s="42"/>
      <c r="BY108" s="273"/>
      <c r="CA108" s="42"/>
      <c r="CB108" s="42"/>
      <c r="CC108" s="42"/>
      <c r="CD108" s="42"/>
      <c r="CE108" s="42"/>
      <c r="CF108" s="42"/>
      <c r="CG108" s="42"/>
      <c r="CH108" s="42"/>
      <c r="CI108" s="42"/>
      <c r="CJ108" s="273"/>
      <c r="CL108" s="42"/>
      <c r="CM108" s="42"/>
      <c r="CN108" s="42"/>
      <c r="CO108" s="42"/>
      <c r="CP108" s="42"/>
      <c r="CQ108" s="42"/>
      <c r="CR108" s="42"/>
      <c r="CS108" s="42"/>
      <c r="CT108" s="42"/>
      <c r="CU108" s="273"/>
      <c r="CW108" s="42"/>
      <c r="CX108" s="42"/>
      <c r="CY108" s="42"/>
      <c r="CZ108" s="42"/>
      <c r="DA108" s="42"/>
      <c r="DB108" s="42"/>
      <c r="DC108" s="42"/>
      <c r="DD108" s="42"/>
      <c r="DE108" s="42"/>
      <c r="DF108" s="273"/>
      <c r="DH108" s="42"/>
      <c r="DI108" s="298"/>
      <c r="DJ108" s="42"/>
      <c r="DK108" s="42"/>
      <c r="DL108" s="42"/>
      <c r="DM108" s="42"/>
      <c r="DN108" s="42"/>
      <c r="DO108" s="42"/>
      <c r="DP108" s="42"/>
      <c r="DQ108" s="273"/>
    </row>
  </sheetData>
  <sheetProtection/>
  <mergeCells count="236">
    <mergeCell ref="CL55:CN55"/>
    <mergeCell ref="CP55:CR55"/>
    <mergeCell ref="CT55:CU55"/>
    <mergeCell ref="CM56:CM57"/>
    <mergeCell ref="CN56:CN57"/>
    <mergeCell ref="CQ56:CQ57"/>
    <mergeCell ref="CR56:CR57"/>
    <mergeCell ref="CT56:CT57"/>
    <mergeCell ref="CU56:CU57"/>
    <mergeCell ref="CM6:CM7"/>
    <mergeCell ref="CN6:CN7"/>
    <mergeCell ref="CQ6:CQ7"/>
    <mergeCell ref="CR6:CR7"/>
    <mergeCell ref="CT6:CT7"/>
    <mergeCell ref="CU6:CU7"/>
    <mergeCell ref="CK1:CU1"/>
    <mergeCell ref="CK2:CU2"/>
    <mergeCell ref="CK3:CU3"/>
    <mergeCell ref="CL5:CN5"/>
    <mergeCell ref="CP5:CR5"/>
    <mergeCell ref="CT5:CU5"/>
    <mergeCell ref="CA55:CC55"/>
    <mergeCell ref="CE55:CG55"/>
    <mergeCell ref="CI55:CJ55"/>
    <mergeCell ref="CB56:CB57"/>
    <mergeCell ref="CC56:CC57"/>
    <mergeCell ref="CF56:CF57"/>
    <mergeCell ref="CG56:CG57"/>
    <mergeCell ref="CI56:CI57"/>
    <mergeCell ref="CJ56:CJ57"/>
    <mergeCell ref="CB6:CB7"/>
    <mergeCell ref="CC6:CC7"/>
    <mergeCell ref="CF6:CF7"/>
    <mergeCell ref="CG6:CG7"/>
    <mergeCell ref="CI6:CI7"/>
    <mergeCell ref="CJ6:CJ7"/>
    <mergeCell ref="BZ1:CJ1"/>
    <mergeCell ref="BZ2:CJ2"/>
    <mergeCell ref="BZ3:CJ3"/>
    <mergeCell ref="CA5:CC5"/>
    <mergeCell ref="CE5:CG5"/>
    <mergeCell ref="CI5:CJ5"/>
    <mergeCell ref="BE55:BG55"/>
    <mergeCell ref="BI55:BK55"/>
    <mergeCell ref="BM55:BN55"/>
    <mergeCell ref="BF56:BF57"/>
    <mergeCell ref="BG56:BG57"/>
    <mergeCell ref="BJ56:BJ57"/>
    <mergeCell ref="BK56:BK57"/>
    <mergeCell ref="BM56:BM57"/>
    <mergeCell ref="BN56:BN57"/>
    <mergeCell ref="BF6:BF7"/>
    <mergeCell ref="BG6:BG7"/>
    <mergeCell ref="BJ6:BJ7"/>
    <mergeCell ref="BK6:BK7"/>
    <mergeCell ref="BM6:BM7"/>
    <mergeCell ref="BN6:BN7"/>
    <mergeCell ref="BD1:BN1"/>
    <mergeCell ref="BD2:BN2"/>
    <mergeCell ref="BD3:BN3"/>
    <mergeCell ref="BE5:BG5"/>
    <mergeCell ref="BI5:BK5"/>
    <mergeCell ref="BM5:BN5"/>
    <mergeCell ref="AS1:BC1"/>
    <mergeCell ref="AS2:BC2"/>
    <mergeCell ref="AS3:BC3"/>
    <mergeCell ref="AT5:AV5"/>
    <mergeCell ref="AX5:AZ5"/>
    <mergeCell ref="BB5:BC5"/>
    <mergeCell ref="AU6:AU7"/>
    <mergeCell ref="AV6:AV7"/>
    <mergeCell ref="AY6:AY7"/>
    <mergeCell ref="AZ6:AZ7"/>
    <mergeCell ref="BB6:BB7"/>
    <mergeCell ref="BC6:BC7"/>
    <mergeCell ref="AT24:AT45"/>
    <mergeCell ref="AT55:AV55"/>
    <mergeCell ref="AX55:AZ55"/>
    <mergeCell ref="BB55:BC55"/>
    <mergeCell ref="AU56:AU57"/>
    <mergeCell ref="AV56:AV57"/>
    <mergeCell ref="AY56:AY57"/>
    <mergeCell ref="AZ56:AZ57"/>
    <mergeCell ref="BB56:BB57"/>
    <mergeCell ref="BC56:BC57"/>
    <mergeCell ref="AI24:AI45"/>
    <mergeCell ref="AI55:AK55"/>
    <mergeCell ref="AM55:AO55"/>
    <mergeCell ref="AQ55:AR55"/>
    <mergeCell ref="AJ56:AJ57"/>
    <mergeCell ref="AK56:AK57"/>
    <mergeCell ref="AN56:AN57"/>
    <mergeCell ref="AO56:AO57"/>
    <mergeCell ref="AQ56:AQ57"/>
    <mergeCell ref="AR56:AR57"/>
    <mergeCell ref="AJ6:AJ7"/>
    <mergeCell ref="AK6:AK7"/>
    <mergeCell ref="AN6:AN7"/>
    <mergeCell ref="AO6:AO7"/>
    <mergeCell ref="AQ6:AQ7"/>
    <mergeCell ref="AR6:AR7"/>
    <mergeCell ref="AH1:AR1"/>
    <mergeCell ref="AH2:AR2"/>
    <mergeCell ref="AH3:AR3"/>
    <mergeCell ref="AI5:AK5"/>
    <mergeCell ref="AM5:AO5"/>
    <mergeCell ref="AQ5:AR5"/>
    <mergeCell ref="M24:M45"/>
    <mergeCell ref="M55:O55"/>
    <mergeCell ref="Q55:S55"/>
    <mergeCell ref="U55:V55"/>
    <mergeCell ref="N56:N57"/>
    <mergeCell ref="O56:O57"/>
    <mergeCell ref="R56:R57"/>
    <mergeCell ref="S56:S57"/>
    <mergeCell ref="U56:U57"/>
    <mergeCell ref="V56:V57"/>
    <mergeCell ref="N6:N7"/>
    <mergeCell ref="O6:O7"/>
    <mergeCell ref="R6:R7"/>
    <mergeCell ref="S6:S7"/>
    <mergeCell ref="U6:U7"/>
    <mergeCell ref="V6:V7"/>
    <mergeCell ref="L1:V1"/>
    <mergeCell ref="L2:V2"/>
    <mergeCell ref="L3:V3"/>
    <mergeCell ref="M5:O5"/>
    <mergeCell ref="Q5:S5"/>
    <mergeCell ref="U5:V5"/>
    <mergeCell ref="A1:K1"/>
    <mergeCell ref="A2:K2"/>
    <mergeCell ref="A3:K3"/>
    <mergeCell ref="B5:D5"/>
    <mergeCell ref="F5:H5"/>
    <mergeCell ref="J5:K5"/>
    <mergeCell ref="C6:C7"/>
    <mergeCell ref="D6:D7"/>
    <mergeCell ref="G6:G7"/>
    <mergeCell ref="H6:H7"/>
    <mergeCell ref="J6:J7"/>
    <mergeCell ref="K6:K7"/>
    <mergeCell ref="B24:B44"/>
    <mergeCell ref="B55:D55"/>
    <mergeCell ref="F55:H55"/>
    <mergeCell ref="J55:K55"/>
    <mergeCell ref="C56:C57"/>
    <mergeCell ref="D56:D57"/>
    <mergeCell ref="G56:G57"/>
    <mergeCell ref="H56:H57"/>
    <mergeCell ref="J56:J57"/>
    <mergeCell ref="K56:K57"/>
    <mergeCell ref="W1:AG1"/>
    <mergeCell ref="W2:AG2"/>
    <mergeCell ref="W3:AG3"/>
    <mergeCell ref="X5:Z5"/>
    <mergeCell ref="AB5:AD5"/>
    <mergeCell ref="AF5:AG5"/>
    <mergeCell ref="Y6:Y7"/>
    <mergeCell ref="Z6:Z7"/>
    <mergeCell ref="AC6:AC7"/>
    <mergeCell ref="AD6:AD7"/>
    <mergeCell ref="AF6:AF7"/>
    <mergeCell ref="AG6:AG7"/>
    <mergeCell ref="X24:X45"/>
    <mergeCell ref="X55:Z55"/>
    <mergeCell ref="AB55:AD55"/>
    <mergeCell ref="AF55:AG55"/>
    <mergeCell ref="Y56:Y57"/>
    <mergeCell ref="Z56:Z57"/>
    <mergeCell ref="AC56:AC57"/>
    <mergeCell ref="AD56:AD57"/>
    <mergeCell ref="AF56:AF57"/>
    <mergeCell ref="AG56:AG57"/>
    <mergeCell ref="BO1:BY1"/>
    <mergeCell ref="BO2:BY2"/>
    <mergeCell ref="BO3:BY3"/>
    <mergeCell ref="BP5:BR5"/>
    <mergeCell ref="BT5:BV5"/>
    <mergeCell ref="BX5:BY5"/>
    <mergeCell ref="BQ6:BQ7"/>
    <mergeCell ref="BR6:BR7"/>
    <mergeCell ref="BU6:BU7"/>
    <mergeCell ref="BV6:BV7"/>
    <mergeCell ref="BX6:BX7"/>
    <mergeCell ref="BY6:BY7"/>
    <mergeCell ref="BP55:BR55"/>
    <mergeCell ref="BT55:BV55"/>
    <mergeCell ref="BX55:BY55"/>
    <mergeCell ref="BQ56:BQ57"/>
    <mergeCell ref="BR56:BR57"/>
    <mergeCell ref="BU56:BU57"/>
    <mergeCell ref="BV56:BV57"/>
    <mergeCell ref="BX56:BX57"/>
    <mergeCell ref="BY56:BY57"/>
    <mergeCell ref="CV1:DF1"/>
    <mergeCell ref="CV2:DF2"/>
    <mergeCell ref="CV3:DF3"/>
    <mergeCell ref="CW5:CY5"/>
    <mergeCell ref="DA5:DC5"/>
    <mergeCell ref="DE5:DF5"/>
    <mergeCell ref="CX6:CX7"/>
    <mergeCell ref="CY6:CY7"/>
    <mergeCell ref="DB6:DB7"/>
    <mergeCell ref="DC6:DC7"/>
    <mergeCell ref="DE6:DE7"/>
    <mergeCell ref="DF6:DF7"/>
    <mergeCell ref="CW55:CY55"/>
    <mergeCell ref="DA55:DC55"/>
    <mergeCell ref="DE55:DF55"/>
    <mergeCell ref="CX56:CX57"/>
    <mergeCell ref="CY56:CY57"/>
    <mergeCell ref="DB56:DB57"/>
    <mergeCell ref="DC56:DC57"/>
    <mergeCell ref="DE56:DE57"/>
    <mergeCell ref="DF56:DF57"/>
    <mergeCell ref="DG1:DQ1"/>
    <mergeCell ref="DG2:DQ2"/>
    <mergeCell ref="DG3:DQ3"/>
    <mergeCell ref="DH5:DJ5"/>
    <mergeCell ref="DL5:DN5"/>
    <mergeCell ref="DP5:DQ5"/>
    <mergeCell ref="DI6:DI7"/>
    <mergeCell ref="DJ6:DJ7"/>
    <mergeCell ref="DM6:DM7"/>
    <mergeCell ref="DN6:DN7"/>
    <mergeCell ref="DP6:DP7"/>
    <mergeCell ref="DQ6:DQ7"/>
    <mergeCell ref="DH55:DJ55"/>
    <mergeCell ref="DL55:DN55"/>
    <mergeCell ref="DP55:DQ55"/>
    <mergeCell ref="DI56:DI57"/>
    <mergeCell ref="DJ56:DJ57"/>
    <mergeCell ref="DM56:DM57"/>
    <mergeCell ref="DN56:DN57"/>
    <mergeCell ref="DP56:DP57"/>
    <mergeCell ref="DQ56:DQ57"/>
  </mergeCells>
  <printOptions/>
  <pageMargins left="0.6692913385826772" right="0.11811023622047245" top="0.15748031496062992" bottom="0.15748031496062992" header="0.11811023622047245" footer="0.1574803149606299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40"/>
  <sheetViews>
    <sheetView zoomScalePageLayoutView="0" workbookViewId="0" topLeftCell="BO1">
      <selection activeCell="BU32" sqref="BU32"/>
    </sheetView>
  </sheetViews>
  <sheetFormatPr defaultColWidth="9.140625" defaultRowHeight="21.75"/>
  <cols>
    <col min="1" max="1" width="5.28125" style="45" hidden="1" customWidth="1"/>
    <col min="2" max="2" width="57.00390625" style="45" hidden="1" customWidth="1"/>
    <col min="3" max="3" width="16.57421875" style="45" hidden="1" customWidth="1"/>
    <col min="4" max="4" width="15.57421875" style="45" hidden="1" customWidth="1"/>
    <col min="5" max="5" width="15.28125" style="45" hidden="1" customWidth="1"/>
    <col min="6" max="6" width="15.8515625" style="45" hidden="1" customWidth="1"/>
    <col min="7" max="7" width="5.28125" style="45" hidden="1" customWidth="1"/>
    <col min="8" max="8" width="57.00390625" style="45" hidden="1" customWidth="1"/>
    <col min="9" max="9" width="16.57421875" style="45" hidden="1" customWidth="1"/>
    <col min="10" max="10" width="15.57421875" style="45" hidden="1" customWidth="1"/>
    <col min="11" max="11" width="15.28125" style="45" hidden="1" customWidth="1"/>
    <col min="12" max="12" width="15.8515625" style="45" hidden="1" customWidth="1"/>
    <col min="13" max="13" width="5.28125" style="45" hidden="1" customWidth="1"/>
    <col min="14" max="14" width="57.00390625" style="45" hidden="1" customWidth="1"/>
    <col min="15" max="15" width="16.57421875" style="45" hidden="1" customWidth="1"/>
    <col min="16" max="16" width="15.57421875" style="45" hidden="1" customWidth="1"/>
    <col min="17" max="17" width="15.28125" style="45" hidden="1" customWidth="1"/>
    <col min="18" max="18" width="15.8515625" style="45" hidden="1" customWidth="1"/>
    <col min="19" max="19" width="5.28125" style="45" hidden="1" customWidth="1"/>
    <col min="20" max="20" width="57.00390625" style="45" hidden="1" customWidth="1"/>
    <col min="21" max="21" width="16.57421875" style="45" hidden="1" customWidth="1"/>
    <col min="22" max="22" width="15.57421875" style="45" hidden="1" customWidth="1"/>
    <col min="23" max="23" width="15.28125" style="45" hidden="1" customWidth="1"/>
    <col min="24" max="24" width="15.8515625" style="45" hidden="1" customWidth="1"/>
    <col min="25" max="25" width="5.28125" style="45" hidden="1" customWidth="1"/>
    <col min="26" max="26" width="57.00390625" style="45" hidden="1" customWidth="1"/>
    <col min="27" max="27" width="16.57421875" style="45" hidden="1" customWidth="1"/>
    <col min="28" max="28" width="15.57421875" style="45" hidden="1" customWidth="1"/>
    <col min="29" max="29" width="15.28125" style="45" hidden="1" customWidth="1"/>
    <col min="30" max="30" width="15.8515625" style="45" hidden="1" customWidth="1"/>
    <col min="31" max="31" width="5.28125" style="45" hidden="1" customWidth="1"/>
    <col min="32" max="32" width="57.00390625" style="45" hidden="1" customWidth="1"/>
    <col min="33" max="33" width="16.57421875" style="45" hidden="1" customWidth="1"/>
    <col min="34" max="34" width="15.57421875" style="45" hidden="1" customWidth="1"/>
    <col min="35" max="35" width="15.28125" style="45" hidden="1" customWidth="1"/>
    <col min="36" max="36" width="15.8515625" style="45" hidden="1" customWidth="1"/>
    <col min="37" max="37" width="5.28125" style="45" hidden="1" customWidth="1"/>
    <col min="38" max="38" width="57.00390625" style="45" hidden="1" customWidth="1"/>
    <col min="39" max="39" width="16.57421875" style="45" hidden="1" customWidth="1"/>
    <col min="40" max="40" width="15.57421875" style="45" hidden="1" customWidth="1"/>
    <col min="41" max="41" width="15.28125" style="45" hidden="1" customWidth="1"/>
    <col min="42" max="42" width="15.8515625" style="45" hidden="1" customWidth="1"/>
    <col min="43" max="43" width="5.28125" style="45" hidden="1" customWidth="1"/>
    <col min="44" max="44" width="57.00390625" style="45" hidden="1" customWidth="1"/>
    <col min="45" max="45" width="16.57421875" style="45" hidden="1" customWidth="1"/>
    <col min="46" max="46" width="15.57421875" style="45" hidden="1" customWidth="1"/>
    <col min="47" max="47" width="15.28125" style="45" hidden="1" customWidth="1"/>
    <col min="48" max="48" width="15.8515625" style="45" hidden="1" customWidth="1"/>
    <col min="49" max="49" width="5.28125" style="45" hidden="1" customWidth="1"/>
    <col min="50" max="50" width="57.00390625" style="45" hidden="1" customWidth="1"/>
    <col min="51" max="51" width="16.57421875" style="45" hidden="1" customWidth="1"/>
    <col min="52" max="52" width="15.57421875" style="45" hidden="1" customWidth="1"/>
    <col min="53" max="53" width="15.28125" style="45" hidden="1" customWidth="1"/>
    <col min="54" max="54" width="15.8515625" style="45" hidden="1" customWidth="1"/>
    <col min="55" max="55" width="5.28125" style="45" hidden="1" customWidth="1"/>
    <col min="56" max="56" width="57.00390625" style="45" hidden="1" customWidth="1"/>
    <col min="57" max="57" width="16.57421875" style="45" hidden="1" customWidth="1"/>
    <col min="58" max="58" width="15.57421875" style="45" hidden="1" customWidth="1"/>
    <col min="59" max="59" width="15.28125" style="45" hidden="1" customWidth="1"/>
    <col min="60" max="60" width="15.8515625" style="45" hidden="1" customWidth="1"/>
    <col min="61" max="61" width="5.28125" style="45" hidden="1" customWidth="1"/>
    <col min="62" max="62" width="57.00390625" style="45" hidden="1" customWidth="1"/>
    <col min="63" max="63" width="16.57421875" style="45" hidden="1" customWidth="1"/>
    <col min="64" max="64" width="15.57421875" style="45" hidden="1" customWidth="1"/>
    <col min="65" max="65" width="15.28125" style="45" hidden="1" customWidth="1"/>
    <col min="66" max="66" width="15.8515625" style="45" hidden="1" customWidth="1"/>
    <col min="67" max="67" width="5.28125" style="45" customWidth="1"/>
    <col min="68" max="68" width="57.00390625" style="45" customWidth="1"/>
    <col min="69" max="69" width="16.57421875" style="45" customWidth="1"/>
    <col min="70" max="70" width="15.57421875" style="45" customWidth="1"/>
    <col min="71" max="71" width="15.28125" style="45" customWidth="1"/>
    <col min="72" max="72" width="15.8515625" style="45" customWidth="1"/>
    <col min="73" max="73" width="9.28125" style="45" bestFit="1" customWidth="1"/>
    <col min="74" max="16384" width="9.140625" style="45" customWidth="1"/>
  </cols>
  <sheetData>
    <row r="1" spans="1:72" ht="21">
      <c r="A1" s="320" t="s">
        <v>33</v>
      </c>
      <c r="B1" s="320"/>
      <c r="C1" s="320"/>
      <c r="D1" s="320"/>
      <c r="E1" s="320"/>
      <c r="F1" s="320"/>
      <c r="G1" s="320" t="s">
        <v>33</v>
      </c>
      <c r="H1" s="320"/>
      <c r="I1" s="320"/>
      <c r="J1" s="320"/>
      <c r="K1" s="320"/>
      <c r="L1" s="320"/>
      <c r="M1" s="320" t="s">
        <v>33</v>
      </c>
      <c r="N1" s="320"/>
      <c r="O1" s="320"/>
      <c r="P1" s="320"/>
      <c r="Q1" s="320"/>
      <c r="R1" s="320"/>
      <c r="S1" s="320" t="s">
        <v>33</v>
      </c>
      <c r="T1" s="320"/>
      <c r="U1" s="320"/>
      <c r="V1" s="320"/>
      <c r="W1" s="320"/>
      <c r="X1" s="320"/>
      <c r="Y1" s="320" t="s">
        <v>33</v>
      </c>
      <c r="Z1" s="320"/>
      <c r="AA1" s="320"/>
      <c r="AB1" s="320"/>
      <c r="AC1" s="320"/>
      <c r="AD1" s="320"/>
      <c r="AE1" s="320" t="s">
        <v>33</v>
      </c>
      <c r="AF1" s="320"/>
      <c r="AG1" s="320"/>
      <c r="AH1" s="320"/>
      <c r="AI1" s="320"/>
      <c r="AJ1" s="320"/>
      <c r="AK1" s="320" t="s">
        <v>33</v>
      </c>
      <c r="AL1" s="320"/>
      <c r="AM1" s="320"/>
      <c r="AN1" s="320"/>
      <c r="AO1" s="320"/>
      <c r="AP1" s="320"/>
      <c r="AQ1" s="320" t="s">
        <v>33</v>
      </c>
      <c r="AR1" s="320"/>
      <c r="AS1" s="320"/>
      <c r="AT1" s="320"/>
      <c r="AU1" s="320"/>
      <c r="AV1" s="320"/>
      <c r="AW1" s="320" t="s">
        <v>33</v>
      </c>
      <c r="AX1" s="320"/>
      <c r="AY1" s="320"/>
      <c r="AZ1" s="320"/>
      <c r="BA1" s="320"/>
      <c r="BB1" s="320"/>
      <c r="BC1" s="320" t="s">
        <v>33</v>
      </c>
      <c r="BD1" s="320"/>
      <c r="BE1" s="320"/>
      <c r="BF1" s="320"/>
      <c r="BG1" s="320"/>
      <c r="BH1" s="320"/>
      <c r="BI1" s="320" t="s">
        <v>33</v>
      </c>
      <c r="BJ1" s="320"/>
      <c r="BK1" s="320"/>
      <c r="BL1" s="320"/>
      <c r="BM1" s="320"/>
      <c r="BN1" s="320"/>
      <c r="BO1" s="320" t="s">
        <v>33</v>
      </c>
      <c r="BP1" s="320"/>
      <c r="BQ1" s="320"/>
      <c r="BR1" s="320"/>
      <c r="BS1" s="320"/>
      <c r="BT1" s="320"/>
    </row>
    <row r="3" spans="1:72" ht="18.75">
      <c r="A3" s="328" t="s">
        <v>30</v>
      </c>
      <c r="B3" s="328" t="s">
        <v>34</v>
      </c>
      <c r="C3" s="46" t="s">
        <v>37</v>
      </c>
      <c r="D3" s="46" t="s">
        <v>35</v>
      </c>
      <c r="E3" s="46" t="s">
        <v>36</v>
      </c>
      <c r="F3" s="46" t="s">
        <v>39</v>
      </c>
      <c r="G3" s="328" t="s">
        <v>30</v>
      </c>
      <c r="H3" s="328" t="s">
        <v>34</v>
      </c>
      <c r="I3" s="46" t="s">
        <v>37</v>
      </c>
      <c r="J3" s="46" t="s">
        <v>35</v>
      </c>
      <c r="K3" s="46" t="s">
        <v>36</v>
      </c>
      <c r="L3" s="46" t="s">
        <v>39</v>
      </c>
      <c r="M3" s="328" t="s">
        <v>30</v>
      </c>
      <c r="N3" s="328" t="s">
        <v>34</v>
      </c>
      <c r="O3" s="46" t="s">
        <v>37</v>
      </c>
      <c r="P3" s="46" t="s">
        <v>35</v>
      </c>
      <c r="Q3" s="46" t="s">
        <v>36</v>
      </c>
      <c r="R3" s="46" t="s">
        <v>39</v>
      </c>
      <c r="S3" s="328" t="s">
        <v>30</v>
      </c>
      <c r="T3" s="328" t="s">
        <v>34</v>
      </c>
      <c r="U3" s="46" t="s">
        <v>37</v>
      </c>
      <c r="V3" s="46" t="s">
        <v>35</v>
      </c>
      <c r="W3" s="46" t="s">
        <v>36</v>
      </c>
      <c r="X3" s="46" t="s">
        <v>39</v>
      </c>
      <c r="Y3" s="328" t="s">
        <v>30</v>
      </c>
      <c r="Z3" s="328" t="s">
        <v>34</v>
      </c>
      <c r="AA3" s="46" t="s">
        <v>37</v>
      </c>
      <c r="AB3" s="46" t="s">
        <v>35</v>
      </c>
      <c r="AC3" s="46" t="s">
        <v>36</v>
      </c>
      <c r="AD3" s="46" t="s">
        <v>39</v>
      </c>
      <c r="AE3" s="328" t="s">
        <v>30</v>
      </c>
      <c r="AF3" s="328" t="s">
        <v>34</v>
      </c>
      <c r="AG3" s="46" t="s">
        <v>37</v>
      </c>
      <c r="AH3" s="46" t="s">
        <v>35</v>
      </c>
      <c r="AI3" s="46" t="s">
        <v>36</v>
      </c>
      <c r="AJ3" s="46" t="s">
        <v>39</v>
      </c>
      <c r="AK3" s="328" t="s">
        <v>30</v>
      </c>
      <c r="AL3" s="328" t="s">
        <v>34</v>
      </c>
      <c r="AM3" s="46" t="s">
        <v>37</v>
      </c>
      <c r="AN3" s="46" t="s">
        <v>35</v>
      </c>
      <c r="AO3" s="46" t="s">
        <v>36</v>
      </c>
      <c r="AP3" s="46" t="s">
        <v>39</v>
      </c>
      <c r="AQ3" s="328" t="s">
        <v>30</v>
      </c>
      <c r="AR3" s="328" t="s">
        <v>34</v>
      </c>
      <c r="AS3" s="278" t="s">
        <v>37</v>
      </c>
      <c r="AT3" s="278" t="s">
        <v>35</v>
      </c>
      <c r="AU3" s="278" t="s">
        <v>36</v>
      </c>
      <c r="AV3" s="278" t="s">
        <v>39</v>
      </c>
      <c r="AW3" s="328" t="s">
        <v>30</v>
      </c>
      <c r="AX3" s="328" t="s">
        <v>34</v>
      </c>
      <c r="AY3" s="278" t="s">
        <v>37</v>
      </c>
      <c r="AZ3" s="278" t="s">
        <v>35</v>
      </c>
      <c r="BA3" s="278" t="s">
        <v>36</v>
      </c>
      <c r="BB3" s="278" t="s">
        <v>39</v>
      </c>
      <c r="BC3" s="328" t="s">
        <v>30</v>
      </c>
      <c r="BD3" s="328" t="s">
        <v>34</v>
      </c>
      <c r="BE3" s="278" t="s">
        <v>37</v>
      </c>
      <c r="BF3" s="278" t="s">
        <v>35</v>
      </c>
      <c r="BG3" s="278" t="s">
        <v>36</v>
      </c>
      <c r="BH3" s="278" t="s">
        <v>39</v>
      </c>
      <c r="BI3" s="328" t="s">
        <v>30</v>
      </c>
      <c r="BJ3" s="328" t="s">
        <v>34</v>
      </c>
      <c r="BK3" s="278" t="s">
        <v>37</v>
      </c>
      <c r="BL3" s="278" t="s">
        <v>35</v>
      </c>
      <c r="BM3" s="278" t="s">
        <v>36</v>
      </c>
      <c r="BN3" s="278" t="s">
        <v>39</v>
      </c>
      <c r="BO3" s="328" t="s">
        <v>30</v>
      </c>
      <c r="BP3" s="328" t="s">
        <v>34</v>
      </c>
      <c r="BQ3" s="278" t="s">
        <v>37</v>
      </c>
      <c r="BR3" s="278" t="s">
        <v>35</v>
      </c>
      <c r="BS3" s="278" t="s">
        <v>36</v>
      </c>
      <c r="BT3" s="278" t="s">
        <v>39</v>
      </c>
    </row>
    <row r="4" spans="1:72" ht="18.75">
      <c r="A4" s="329"/>
      <c r="B4" s="329"/>
      <c r="C4" s="47" t="s">
        <v>147</v>
      </c>
      <c r="D4" s="48" t="s">
        <v>38</v>
      </c>
      <c r="E4" s="48" t="s">
        <v>38</v>
      </c>
      <c r="F4" s="47" t="s">
        <v>146</v>
      </c>
      <c r="G4" s="329"/>
      <c r="H4" s="329"/>
      <c r="I4" s="47" t="s">
        <v>147</v>
      </c>
      <c r="J4" s="48" t="s">
        <v>38</v>
      </c>
      <c r="K4" s="48" t="s">
        <v>38</v>
      </c>
      <c r="L4" s="47" t="s">
        <v>159</v>
      </c>
      <c r="M4" s="329"/>
      <c r="N4" s="329"/>
      <c r="O4" s="47" t="s">
        <v>147</v>
      </c>
      <c r="P4" s="48" t="s">
        <v>38</v>
      </c>
      <c r="Q4" s="48" t="s">
        <v>38</v>
      </c>
      <c r="R4" s="47" t="s">
        <v>164</v>
      </c>
      <c r="S4" s="329"/>
      <c r="T4" s="329"/>
      <c r="U4" s="47" t="s">
        <v>147</v>
      </c>
      <c r="V4" s="48" t="s">
        <v>38</v>
      </c>
      <c r="W4" s="48" t="s">
        <v>38</v>
      </c>
      <c r="X4" s="47" t="s">
        <v>169</v>
      </c>
      <c r="Y4" s="329"/>
      <c r="Z4" s="329"/>
      <c r="AA4" s="47" t="s">
        <v>147</v>
      </c>
      <c r="AB4" s="48" t="s">
        <v>38</v>
      </c>
      <c r="AC4" s="48" t="s">
        <v>38</v>
      </c>
      <c r="AD4" s="47" t="s">
        <v>177</v>
      </c>
      <c r="AE4" s="329"/>
      <c r="AF4" s="329"/>
      <c r="AG4" s="47" t="s">
        <v>147</v>
      </c>
      <c r="AH4" s="48" t="s">
        <v>38</v>
      </c>
      <c r="AI4" s="48" t="s">
        <v>38</v>
      </c>
      <c r="AJ4" s="47" t="s">
        <v>179</v>
      </c>
      <c r="AK4" s="329"/>
      <c r="AL4" s="329"/>
      <c r="AM4" s="47" t="s">
        <v>147</v>
      </c>
      <c r="AN4" s="48" t="s">
        <v>38</v>
      </c>
      <c r="AO4" s="48" t="s">
        <v>38</v>
      </c>
      <c r="AP4" s="47" t="s">
        <v>187</v>
      </c>
      <c r="AQ4" s="329"/>
      <c r="AR4" s="329"/>
      <c r="AS4" s="279" t="s">
        <v>147</v>
      </c>
      <c r="AT4" s="280" t="s">
        <v>38</v>
      </c>
      <c r="AU4" s="280" t="s">
        <v>38</v>
      </c>
      <c r="AV4" s="279" t="s">
        <v>191</v>
      </c>
      <c r="AW4" s="329"/>
      <c r="AX4" s="329"/>
      <c r="AY4" s="279" t="s">
        <v>147</v>
      </c>
      <c r="AZ4" s="280" t="s">
        <v>38</v>
      </c>
      <c r="BA4" s="280" t="s">
        <v>38</v>
      </c>
      <c r="BB4" s="279" t="s">
        <v>200</v>
      </c>
      <c r="BC4" s="329"/>
      <c r="BD4" s="329"/>
      <c r="BE4" s="279" t="s">
        <v>147</v>
      </c>
      <c r="BF4" s="280" t="s">
        <v>38</v>
      </c>
      <c r="BG4" s="280" t="s">
        <v>38</v>
      </c>
      <c r="BH4" s="279" t="s">
        <v>200</v>
      </c>
      <c r="BI4" s="329"/>
      <c r="BJ4" s="329"/>
      <c r="BK4" s="279" t="s">
        <v>147</v>
      </c>
      <c r="BL4" s="280" t="s">
        <v>38</v>
      </c>
      <c r="BM4" s="280" t="s">
        <v>38</v>
      </c>
      <c r="BN4" s="279" t="s">
        <v>205</v>
      </c>
      <c r="BO4" s="329"/>
      <c r="BP4" s="329"/>
      <c r="BQ4" s="279" t="s">
        <v>147</v>
      </c>
      <c r="BR4" s="280" t="s">
        <v>38</v>
      </c>
      <c r="BS4" s="280" t="s">
        <v>38</v>
      </c>
      <c r="BT4" s="279" t="s">
        <v>209</v>
      </c>
    </row>
    <row r="5" spans="1:72" ht="18.75">
      <c r="A5" s="49">
        <v>1</v>
      </c>
      <c r="B5" s="50" t="s">
        <v>44</v>
      </c>
      <c r="C5" s="51">
        <f>+'[1]งบทดลอง-โปรแกรม61'!$C$17</f>
        <v>32126783.23</v>
      </c>
      <c r="D5" s="51">
        <f>+'[1]งบทดลอง-โปรแกรม61'!$E$17</f>
        <v>2566145.8</v>
      </c>
      <c r="E5" s="51">
        <f>+'[1]งบทดลอง-โปรแกรม61'!$F$17</f>
        <v>4937155.08</v>
      </c>
      <c r="F5" s="52">
        <f>+C5+D5-E5</f>
        <v>29755773.950000003</v>
      </c>
      <c r="G5" s="49">
        <v>1</v>
      </c>
      <c r="H5" s="50" t="s">
        <v>44</v>
      </c>
      <c r="I5" s="51">
        <f>+'[1]งบทดลอง-โปรแกรม61'!$C$17</f>
        <v>32126783.23</v>
      </c>
      <c r="J5" s="51">
        <f>+'[1]งบทดลอง-โปรแกรม61'!$E$17+23387033.96</f>
        <v>25953179.76</v>
      </c>
      <c r="K5" s="51">
        <f>+'[1]งบทดลอง-โปรแกรม61'!$F$17+5655919.84</f>
        <v>10593074.92</v>
      </c>
      <c r="L5" s="52">
        <f>+I5+J5-K5</f>
        <v>47486888.07</v>
      </c>
      <c r="M5" s="49">
        <v>1</v>
      </c>
      <c r="N5" s="50" t="s">
        <v>44</v>
      </c>
      <c r="O5" s="51">
        <f>+'[1]งบทดลอง-โปรแกรม61'!$C$17</f>
        <v>32126783.23</v>
      </c>
      <c r="P5" s="51">
        <f>+'[1]งบทดลอง-โปรแกรม61'!$E$17+23387033.96+2040420</f>
        <v>27993599.76</v>
      </c>
      <c r="Q5" s="51">
        <f>+'[1]งบทดลอง-โปรแกรม61'!$F$17+5655919.84+8347296.83</f>
        <v>18940371.75</v>
      </c>
      <c r="R5" s="52">
        <f>+O5+P5-Q5</f>
        <v>41180011.24</v>
      </c>
      <c r="S5" s="49">
        <v>1</v>
      </c>
      <c r="T5" s="50" t="s">
        <v>44</v>
      </c>
      <c r="U5" s="51">
        <f>+'[1]งบทดลอง-โปรแกรม61'!$C$17</f>
        <v>32126783.23</v>
      </c>
      <c r="V5" s="51">
        <f>+'[1]งบทดลอง-โปรแกรม61'!$E$17+23387033.96+2040420+2013954.92</f>
        <v>30007554.68</v>
      </c>
      <c r="W5" s="51">
        <f>+'[1]งบทดลอง-โปรแกรม61'!$F$17+5655919.84+8347296.83+10648931.03</f>
        <v>29589302.78</v>
      </c>
      <c r="X5" s="52">
        <f>+U5+V5-W5</f>
        <v>32545035.129999995</v>
      </c>
      <c r="Y5" s="49">
        <v>1</v>
      </c>
      <c r="Z5" s="50" t="s">
        <v>44</v>
      </c>
      <c r="AA5" s="51">
        <f>+'[1]งบทดลอง-โปรแกรม61'!$C$17</f>
        <v>32126783.23</v>
      </c>
      <c r="AB5" s="51">
        <f>+'[1]งบทดลอง-โปรแกรม61'!$E$17+23387033.96+2040420+2013954.92+27122207.14</f>
        <v>57129761.82</v>
      </c>
      <c r="AC5" s="51">
        <f>+'[1]งบทดลอง-โปรแกรม61'!$F$17+5655919.84+8347296.83+10648931.03+15961622.32</f>
        <v>45550925.1</v>
      </c>
      <c r="AD5" s="52">
        <f>+AA5+AB5-AC5</f>
        <v>43705619.949999996</v>
      </c>
      <c r="AE5" s="49">
        <v>1</v>
      </c>
      <c r="AF5" s="50" t="s">
        <v>44</v>
      </c>
      <c r="AG5" s="51">
        <f>+'[1]งบทดลอง-โปรแกรม61'!$C$17</f>
        <v>32126783.23</v>
      </c>
      <c r="AH5" s="51">
        <f>+'[1]งบทดลอง-โปรแกรม61'!$E$17+23387033.96+2040420+2013954.92+27122207.14+4129189.55</f>
        <v>61258951.37</v>
      </c>
      <c r="AI5" s="51">
        <f>+'[1]งบทดลอง-โปรแกรม61'!$F$17+5655919.84+8347296.83+10648931.03+15961622.32+6117914.15</f>
        <v>51668839.25</v>
      </c>
      <c r="AJ5" s="52">
        <f>+AG5+AH5-AI5</f>
        <v>41716895.349999994</v>
      </c>
      <c r="AK5" s="49">
        <v>1</v>
      </c>
      <c r="AL5" s="50" t="s">
        <v>44</v>
      </c>
      <c r="AM5" s="51">
        <f>+'[1]งบทดลอง-โปรแกรม61'!$C$17</f>
        <v>32126783.23</v>
      </c>
      <c r="AN5" s="51">
        <f>+'[1]งบทดลอง-โปรแกรม61'!$E$17+23387033.96+2040420+2013954.92+27122207.14+4129189.55+11943758.25</f>
        <v>73202709.62</v>
      </c>
      <c r="AO5" s="51">
        <f>+'[1]งบทดลอง-โปรแกรม61'!$F$17+5655919.84+8347296.83+10648931.03+15961622.32+6117914.15+21876078.49</f>
        <v>73544917.74</v>
      </c>
      <c r="AP5" s="52">
        <f>+AM5+AN5-AO5</f>
        <v>31784575.110000014</v>
      </c>
      <c r="AQ5" s="49">
        <v>1</v>
      </c>
      <c r="AR5" s="50" t="s">
        <v>44</v>
      </c>
      <c r="AS5" s="51">
        <f>+'[1]งบทดลอง-โปรแกรม61'!$C$17</f>
        <v>32126783.23</v>
      </c>
      <c r="AT5" s="51">
        <f>+'[1]งบทดลอง-โปรแกรม61'!$E$17+23387033.96+2040420+2013954.92+27122207.14+4129189.55+11943758.25+12121957.71</f>
        <v>85324667.33000001</v>
      </c>
      <c r="AU5" s="51">
        <f>+'[1]งบทดลอง-โปรแกรม61'!$F$17+5655919.84+8347296.83+10648931.03+15961622.32+6117914.15+21876078.49+9956940.15</f>
        <v>83501857.89</v>
      </c>
      <c r="AV5" s="52">
        <f>+AS5+AT5-AU5</f>
        <v>33949592.67000002</v>
      </c>
      <c r="AW5" s="49">
        <v>1</v>
      </c>
      <c r="AX5" s="50" t="s">
        <v>44</v>
      </c>
      <c r="AY5" s="51">
        <f>+'[1]งบทดลอง-โปรแกรม61'!$C$17</f>
        <v>32126783.23</v>
      </c>
      <c r="AZ5" s="51">
        <f>+'[1]งบทดลอง-โปรแกรม61'!$E$17+23387033.96+2040420+2013954.92+27122207.14+4129189.55+11943758.25+12121957.71+2037381.04</f>
        <v>87362048.37000002</v>
      </c>
      <c r="BA5" s="51">
        <f>+'[1]งบทดลอง-โปรแกรม61'!$F$17+5655919.84+8347296.83+10648931.03+15961622.32+6117914.15+21876078.49+9956940.15+13848547.95</f>
        <v>97350405.84</v>
      </c>
      <c r="BB5" s="52">
        <f>+AY5+AZ5-BA5</f>
        <v>22138425.76000002</v>
      </c>
      <c r="BC5" s="49">
        <v>1</v>
      </c>
      <c r="BD5" s="50" t="s">
        <v>44</v>
      </c>
      <c r="BE5" s="51">
        <f>+'[1]งบทดลอง-โปรแกรม61'!$C$17</f>
        <v>32126783.23</v>
      </c>
      <c r="BF5" s="51">
        <f>+'[1]งบทดลอง-โปรแกรม61'!$E$17+23387033.96+2040420+2013954.92+27122207.14+4129189.55+11943758.25+12121957.71+2037381.04</f>
        <v>87362048.37000002</v>
      </c>
      <c r="BG5" s="51">
        <f>+'[1]งบทดลอง-โปรแกรม61'!$F$17+5655919.84+8347296.83+10648931.03+15961622.32+6117914.15+21876078.49+9956940.15+13848547.95</f>
        <v>97350405.84</v>
      </c>
      <c r="BH5" s="52">
        <f>+BE5+BF5-BG5</f>
        <v>22138425.76000002</v>
      </c>
      <c r="BI5" s="49">
        <v>1</v>
      </c>
      <c r="BJ5" s="50" t="s">
        <v>44</v>
      </c>
      <c r="BK5" s="51">
        <f>+'[1]งบทดลอง-โปรแกรม61'!$C$17</f>
        <v>32126783.23</v>
      </c>
      <c r="BL5" s="51">
        <f>+'[1]งบทดลอง-โปรแกรม61'!$E$17+23387033.96+2040420+2013954.92+27122207.14+4129189.55+11943758.25+12121957.71+2037381.04+22119710.01</f>
        <v>109481758.38000003</v>
      </c>
      <c r="BM5" s="51">
        <f>+'[1]งบทดลอง-โปรแกรม61'!$F$17+5655919.84+8347296.83+10648931.03+15961622.32+6117914.15+21876078.49+9956940.15+13848547.95+11708457.29</f>
        <v>109058863.13</v>
      </c>
      <c r="BN5" s="52">
        <f>+BK5+BL5-BM5</f>
        <v>32549678.48000002</v>
      </c>
      <c r="BO5" s="49">
        <v>1</v>
      </c>
      <c r="BP5" s="50" t="s">
        <v>44</v>
      </c>
      <c r="BQ5" s="51">
        <f>+'[1]งบทดลอง-โปรแกรม61'!$C$17</f>
        <v>32126783.23</v>
      </c>
      <c r="BR5" s="51">
        <f>+'[1]งบทดลอง-โปรแกรม61'!$E$17+23387033.96+2040420+2013954.92+27122207.14+4129189.55+11943758.25+12121957.71+2037381.04+22119710.01+27449496.8+2592541.88</f>
        <v>139523797.06000003</v>
      </c>
      <c r="BS5" s="51">
        <f>+'[1]งบทดลอง-โปรแกรม61'!$F$17+5655919.84+8347296.83+10648931.03+15961622.32+6117914.15+21876078.49+9956940.15+13848547.95+11708457.29+20009620.09+13070351.25</f>
        <v>142138834.47</v>
      </c>
      <c r="BT5" s="52">
        <f>+BQ5+BR5-BS5</f>
        <v>29511745.820000023</v>
      </c>
    </row>
    <row r="6" spans="1:72" ht="18.75">
      <c r="A6" s="70">
        <v>2</v>
      </c>
      <c r="B6" s="245" t="s">
        <v>149</v>
      </c>
      <c r="C6" s="69">
        <f>+'[1]งบทดลอง-โปรแกรม61'!$C$18</f>
        <v>63674.92</v>
      </c>
      <c r="D6" s="69">
        <f>+'[1]งบทดลอง-โปรแกรม61'!$E$18</f>
        <v>59321.99</v>
      </c>
      <c r="E6" s="69" t="e">
        <f>+'[1]งบทดลอง-โปรแกรม61'!$F$18</f>
        <v>#REF!</v>
      </c>
      <c r="F6" s="257" t="e">
        <f>+C6+D6-E6</f>
        <v>#REF!</v>
      </c>
      <c r="G6" s="70">
        <v>2</v>
      </c>
      <c r="H6" s="245" t="s">
        <v>149</v>
      </c>
      <c r="I6" s="69">
        <f>+'[1]งบทดลอง-โปรแกรม61'!$C$18</f>
        <v>63674.92</v>
      </c>
      <c r="J6" s="69">
        <f>59321.99+74364.6</f>
        <v>133686.59</v>
      </c>
      <c r="K6" s="69">
        <f>0+93458.42</f>
        <v>93458.42</v>
      </c>
      <c r="L6" s="257">
        <f>+I6+J6-K6</f>
        <v>103903.09000000001</v>
      </c>
      <c r="M6" s="70">
        <v>2</v>
      </c>
      <c r="N6" s="245" t="s">
        <v>149</v>
      </c>
      <c r="O6" s="69">
        <f>+'[1]งบทดลอง-โปรแกรม61'!$C$18</f>
        <v>63674.92</v>
      </c>
      <c r="P6" s="69">
        <f>59321.99+74364.6+65491.43</f>
        <v>199178.02</v>
      </c>
      <c r="Q6" s="69">
        <f>0+93458.42+104342.46</f>
        <v>197800.88</v>
      </c>
      <c r="R6" s="257">
        <f>+O6+P6-Q6</f>
        <v>65052.06</v>
      </c>
      <c r="S6" s="70">
        <v>2</v>
      </c>
      <c r="T6" s="245" t="s">
        <v>149</v>
      </c>
      <c r="U6" s="69">
        <f>+'[1]งบทดลอง-โปรแกรม61'!$C$18</f>
        <v>63674.92</v>
      </c>
      <c r="V6" s="69">
        <f>59321.99+74364.6+65491.43+53285.94</f>
        <v>252463.96</v>
      </c>
      <c r="W6" s="69">
        <f>0+93458.42+104342.46+65052.06</f>
        <v>262852.94</v>
      </c>
      <c r="X6" s="257">
        <f>+U6+V6-W6</f>
        <v>53285.94</v>
      </c>
      <c r="Y6" s="70">
        <v>2</v>
      </c>
      <c r="Z6" s="245" t="s">
        <v>149</v>
      </c>
      <c r="AA6" s="69">
        <f>+'[1]งบทดลอง-โปรแกรม61'!$C$18</f>
        <v>63674.92</v>
      </c>
      <c r="AB6" s="69">
        <f>59321.99+74364.6+65491.43+53285.94+70397.38</f>
        <v>322861.33999999997</v>
      </c>
      <c r="AC6" s="69">
        <f>0+93458.42+104342.46+65052.06</f>
        <v>262852.94</v>
      </c>
      <c r="AD6" s="257">
        <f>+AA6+AB6-AC6</f>
        <v>123683.31999999995</v>
      </c>
      <c r="AE6" s="70">
        <v>2</v>
      </c>
      <c r="AF6" s="245" t="s">
        <v>149</v>
      </c>
      <c r="AG6" s="69">
        <f>+'[1]งบทดลอง-โปรแกรม61'!$C$18</f>
        <v>63674.92</v>
      </c>
      <c r="AH6" s="69">
        <f>59321.99+74364.6+65491.43+53285.94+70397.38+57381.03</f>
        <v>380242.37</v>
      </c>
      <c r="AI6" s="69">
        <f>0+93458.42+104342.46+65052.06+124674.35</f>
        <v>387527.29000000004</v>
      </c>
      <c r="AJ6" s="257">
        <f>+AG6+AH6-AI6</f>
        <v>56389.99999999994</v>
      </c>
      <c r="AK6" s="70">
        <v>2</v>
      </c>
      <c r="AL6" s="245" t="s">
        <v>149</v>
      </c>
      <c r="AM6" s="69">
        <f>+'[1]งบทดลอง-โปรแกรม61'!$C$18</f>
        <v>63674.92</v>
      </c>
      <c r="AN6" s="69">
        <f>59321.99+74364.6+65491.43+53285.94+70397.38+57381.03+66677.82</f>
        <v>446920.19</v>
      </c>
      <c r="AO6" s="69">
        <f>0+93458.42+104342.46+65052.06+124674.35+58667.86</f>
        <v>446195.15</v>
      </c>
      <c r="AP6" s="257">
        <f>+AM6+AN6-AO6</f>
        <v>64399.95999999996</v>
      </c>
      <c r="AQ6" s="70">
        <v>2</v>
      </c>
      <c r="AR6" s="245" t="s">
        <v>149</v>
      </c>
      <c r="AS6" s="69">
        <f>+'[1]งบทดลอง-โปรแกรม61'!$C$18</f>
        <v>63674.92</v>
      </c>
      <c r="AT6" s="69">
        <f>59321.99+74364.6+65491.43+53285.94+70397.38+57381.03+66677.82+103884.25</f>
        <v>550804.44</v>
      </c>
      <c r="AU6" s="69">
        <f>0+93458.42+104342.46+65052.06+124674.35+58667.86+75774.23</f>
        <v>521969.38</v>
      </c>
      <c r="AV6" s="257">
        <f>+AS6+AT6-AU6</f>
        <v>92509.97999999998</v>
      </c>
      <c r="AW6" s="70">
        <v>2</v>
      </c>
      <c r="AX6" s="245" t="s">
        <v>149</v>
      </c>
      <c r="AY6" s="69">
        <f>+'[1]งบทดลอง-โปรแกรม61'!$C$18</f>
        <v>63674.92</v>
      </c>
      <c r="AZ6" s="69">
        <f>59321.99+74364.6+65491.43+53285.94+70397.38+57381.03+66677.82+103884.25+78157.46</f>
        <v>628961.8999999999</v>
      </c>
      <c r="BA6" s="69">
        <f>0+93458.42+104342.46+65052.06+124674.35+58667.86+75774.23+93733.72</f>
        <v>615703.1</v>
      </c>
      <c r="BB6" s="257">
        <f>+AY6+AZ6-BA6</f>
        <v>76933.71999999997</v>
      </c>
      <c r="BC6" s="70">
        <v>2</v>
      </c>
      <c r="BD6" s="245" t="s">
        <v>149</v>
      </c>
      <c r="BE6" s="69">
        <f>+'[1]งบทดลอง-โปรแกรม61'!$C$18</f>
        <v>63674.92</v>
      </c>
      <c r="BF6" s="69">
        <f>59321.99+74364.6+65491.43+53285.94+70397.38+57381.03+66677.82+103884.25+78157.46</f>
        <v>628961.8999999999</v>
      </c>
      <c r="BG6" s="69">
        <f>0+93458.42+104342.46+65052.06+124674.35+58667.86+75774.23+93733.72</f>
        <v>615703.1</v>
      </c>
      <c r="BH6" s="257">
        <f>+BE6+BF6-BG6</f>
        <v>76933.71999999997</v>
      </c>
      <c r="BI6" s="70">
        <v>2</v>
      </c>
      <c r="BJ6" s="245" t="s">
        <v>149</v>
      </c>
      <c r="BK6" s="69">
        <f>+'[1]งบทดลอง-โปรแกรม61'!$C$18</f>
        <v>63674.92</v>
      </c>
      <c r="BL6" s="69">
        <f>59321.99+74364.6+65491.43+53285.94+70397.38+57381.03+66677.82+103884.25+78157.46+69085.55</f>
        <v>698047.45</v>
      </c>
      <c r="BM6" s="69">
        <f>0+93458.42+104342.46+65052.06+124674.35+58667.86+75774.23+93733.72+79189.54</f>
        <v>694892.64</v>
      </c>
      <c r="BN6" s="257">
        <f>+BK6+BL6-BM6</f>
        <v>66829.72999999998</v>
      </c>
      <c r="BO6" s="70">
        <v>2</v>
      </c>
      <c r="BP6" s="245" t="s">
        <v>149</v>
      </c>
      <c r="BQ6" s="69">
        <f>+'[1]งบทดลอง-โปรแกรม61'!$C$18</f>
        <v>63674.92</v>
      </c>
      <c r="BR6" s="69">
        <f>59321.99+74364.6+65491.43+53285.94+70397.38+57381.03+66677.82+103884.25+78157.46+69085.55+189630.28+94217.63</f>
        <v>981895.36</v>
      </c>
      <c r="BS6" s="69">
        <f>0+93458.42+104342.46+65052.06+124674.35+58667.86+75774.23+93733.72+79189.54+170878.37+88318.46</f>
        <v>954089.47</v>
      </c>
      <c r="BT6" s="257">
        <f>+BQ6+BR6-BS6</f>
        <v>91480.81000000006</v>
      </c>
    </row>
    <row r="7" spans="1:72" ht="18.75">
      <c r="A7" s="54">
        <v>3</v>
      </c>
      <c r="B7" s="55" t="s">
        <v>40</v>
      </c>
      <c r="C7" s="56">
        <f>+'[1]งบทดลอง-โปรแกรม61'!$C$10</f>
        <v>4372260.37</v>
      </c>
      <c r="D7" s="56">
        <f>+'[1]งบทดลอง-โปรแกรม61'!$E$10</f>
        <v>3217993.46</v>
      </c>
      <c r="E7" s="57">
        <f>+'[1]งบทดลอง-โปรแกรม61'!$F$10</f>
        <v>3154701.54</v>
      </c>
      <c r="F7" s="58">
        <f>C7+D7-E7</f>
        <v>4435552.29</v>
      </c>
      <c r="G7" s="54">
        <v>3</v>
      </c>
      <c r="H7" s="55" t="s">
        <v>40</v>
      </c>
      <c r="I7" s="56">
        <f>+'[1]งบทดลอง-โปรแกรม61'!$C$10</f>
        <v>4372260.37</v>
      </c>
      <c r="J7" s="56">
        <f>3217993.46+3927791.3</f>
        <v>7145784.76</v>
      </c>
      <c r="K7" s="57">
        <f>3154701.54+2737743.75</f>
        <v>5892445.29</v>
      </c>
      <c r="L7" s="58">
        <f>I7+J7-K7</f>
        <v>5625599.839999999</v>
      </c>
      <c r="M7" s="54">
        <v>3</v>
      </c>
      <c r="N7" s="55" t="s">
        <v>40</v>
      </c>
      <c r="O7" s="56">
        <f>+'[1]งบทดลอง-โปรแกรม61'!$C$10</f>
        <v>4372260.37</v>
      </c>
      <c r="P7" s="56">
        <f>3217993.46+3927791.3+7453460.63</f>
        <v>14599245.39</v>
      </c>
      <c r="Q7" s="57">
        <f>3154701.54+2737743.75+3361661.21</f>
        <v>9254106.5</v>
      </c>
      <c r="R7" s="58">
        <f>O7+P7-Q7</f>
        <v>9717399.260000002</v>
      </c>
      <c r="S7" s="54">
        <v>3</v>
      </c>
      <c r="T7" s="55" t="s">
        <v>40</v>
      </c>
      <c r="U7" s="56">
        <f>+'[1]งบทดลอง-โปรแกรม61'!$C$10</f>
        <v>4372260.37</v>
      </c>
      <c r="V7" s="56">
        <f>3217993.46+3927791.3+7453460.63+7275409.54</f>
        <v>21874654.93</v>
      </c>
      <c r="W7" s="57">
        <f>3154701.54+2737743.75+3361661.21+3498122.68</f>
        <v>12752229.18</v>
      </c>
      <c r="X7" s="58">
        <f>U7+V7-W7</f>
        <v>13494686.120000001</v>
      </c>
      <c r="Y7" s="54">
        <v>3</v>
      </c>
      <c r="Z7" s="55" t="s">
        <v>40</v>
      </c>
      <c r="AA7" s="56">
        <f>+'[1]งบทดลอง-โปรแกรม61'!$C$10</f>
        <v>4372260.37</v>
      </c>
      <c r="AB7" s="56">
        <f>3217993.46+3927791.3+7453460.63+7275409.54+7308472.86</f>
        <v>29183127.79</v>
      </c>
      <c r="AC7" s="57">
        <f>3154701.54+2737743.75+3361661.21+3498122.68+13237491.07</f>
        <v>25989720.25</v>
      </c>
      <c r="AD7" s="58">
        <f>AA7+AB7-AC7</f>
        <v>7565667.909999996</v>
      </c>
      <c r="AE7" s="54">
        <v>3</v>
      </c>
      <c r="AF7" s="55" t="s">
        <v>40</v>
      </c>
      <c r="AG7" s="56">
        <f>+'[1]งบทดลอง-โปรแกรม61'!$C$10</f>
        <v>4372260.37</v>
      </c>
      <c r="AH7" s="56">
        <f>3217993.46+3927791.3+7453460.63+7275409.54+7308472.86+4521036.24</f>
        <v>33704164.03</v>
      </c>
      <c r="AI7" s="57">
        <f>3154701.54+2737743.75+3361661.21+3498122.68+13237491.07+2996034.1</f>
        <v>28985754.35</v>
      </c>
      <c r="AJ7" s="58">
        <f>AG7+AH7-AI7</f>
        <v>9090670.049999997</v>
      </c>
      <c r="AK7" s="54">
        <v>3</v>
      </c>
      <c r="AL7" s="55" t="s">
        <v>40</v>
      </c>
      <c r="AM7" s="56">
        <f>+'[1]งบทดลอง-โปรแกรม61'!$C$10</f>
        <v>4372260.37</v>
      </c>
      <c r="AN7" s="56">
        <f>3217993.46+3927791.3+7453460.63+7275409.54+7308472.86+4521036.24+24018900.82</f>
        <v>57723064.85</v>
      </c>
      <c r="AO7" s="57">
        <f>3154701.54+2737743.75+3361661.21+3498122.68+13237491.07+2996034.1+25267572.7</f>
        <v>54253327.05</v>
      </c>
      <c r="AP7" s="58">
        <f>AM7+AN7-AO7</f>
        <v>7841998.170000002</v>
      </c>
      <c r="AQ7" s="54">
        <v>3</v>
      </c>
      <c r="AR7" s="55" t="s">
        <v>40</v>
      </c>
      <c r="AS7" s="56">
        <f>+'[1]งบทดลอง-โปรแกรม61'!$C$10</f>
        <v>4372260.37</v>
      </c>
      <c r="AT7" s="56">
        <f>3217993.46+3927791.3+7453460.63+7275409.54+7308472.86+4521036.24+24018900.82+6622589.28</f>
        <v>64345654.13</v>
      </c>
      <c r="AU7" s="57">
        <f>3154701.54+2737743.75+3361661.21+3498122.68+13237491.07+2996034.1+25267572.7+3655141.66</f>
        <v>57908468.70999999</v>
      </c>
      <c r="AV7" s="56">
        <f>AS7+AT7-AU7</f>
        <v>10809445.790000007</v>
      </c>
      <c r="AW7" s="54">
        <v>3</v>
      </c>
      <c r="AX7" s="55" t="s">
        <v>40</v>
      </c>
      <c r="AY7" s="56">
        <f>+'[1]งบทดลอง-โปรแกรม61'!$C$10</f>
        <v>4372260.37</v>
      </c>
      <c r="AZ7" s="56">
        <f>3217993.46+3927791.3+7453460.63+7275409.54+7308472.86+4521036.24+24018900.82+6622589.28+6607790.57</f>
        <v>70953444.7</v>
      </c>
      <c r="BA7" s="57">
        <f>3154701.54+2737743.75+3361661.21+3498122.68+13237491.07+2996034.1+25267572.7+3655141.66+3282934.83</f>
        <v>61191403.53999999</v>
      </c>
      <c r="BB7" s="56">
        <f>AY7+AZ7-BA7</f>
        <v>14134301.530000016</v>
      </c>
      <c r="BC7" s="54">
        <v>3</v>
      </c>
      <c r="BD7" s="55" t="s">
        <v>40</v>
      </c>
      <c r="BE7" s="56">
        <f>+'[1]งบทดลอง-โปรแกรม61'!$C$10</f>
        <v>4372260.37</v>
      </c>
      <c r="BF7" s="56">
        <f>3217993.46+3927791.3+7453460.63+7275409.54+7308472.86+4521036.24+24018900.82+6622589.28+6607790.57</f>
        <v>70953444.7</v>
      </c>
      <c r="BG7" s="57">
        <f>3154701.54+2737743.75+3361661.21+3498122.68+13237491.07+2996034.1+25267572.7+3655141.66+3282934.83</f>
        <v>61191403.53999999</v>
      </c>
      <c r="BH7" s="56">
        <f>BE7+BF7-BG7</f>
        <v>14134301.530000016</v>
      </c>
      <c r="BI7" s="54">
        <v>3</v>
      </c>
      <c r="BJ7" s="55" t="s">
        <v>40</v>
      </c>
      <c r="BK7" s="56">
        <f>+'[1]งบทดลอง-โปรแกรม61'!$C$10</f>
        <v>4372260.37</v>
      </c>
      <c r="BL7" s="56">
        <f>3217993.46+3927791.3+7453460.63+7275409.54+7308472.86+4521036.24+24018900.82+6622589.28+6607790.57+8968658.64</f>
        <v>79922103.34</v>
      </c>
      <c r="BM7" s="57">
        <f>3154701.54+2737743.75+3361661.21+3498122.68+13237491.07+2996034.1+25267572.7+3655141.66+3282934.83+13732771.05</f>
        <v>74924174.58999999</v>
      </c>
      <c r="BN7" s="56">
        <f>BK7+BL7-BM7</f>
        <v>9370189.12000002</v>
      </c>
      <c r="BO7" s="54">
        <v>3</v>
      </c>
      <c r="BP7" s="55" t="s">
        <v>40</v>
      </c>
      <c r="BQ7" s="56">
        <f>+'[1]งบทดลอง-โปรแกรม61'!$C$10</f>
        <v>4372260.37</v>
      </c>
      <c r="BR7" s="56">
        <f>3217993.46+3927791.3+7453460.63+7275409.54+7308472.86+4521036.24+24018900.82+6622589.28+6607790.57+8968658.64+9284584.31+14422623.25</f>
        <v>103629310.9</v>
      </c>
      <c r="BS7" s="57">
        <f>3154701.54+2737743.75+3361661.21+3498122.68+13237491.07+2996034.1+25267572.7+3655141.66+3282934.83+13732771.05+14126731.24+4778822</f>
        <v>93829727.82999998</v>
      </c>
      <c r="BT7" s="56">
        <f>BQ7+BR7-BS7</f>
        <v>14171843.440000027</v>
      </c>
    </row>
    <row r="8" spans="1:72" ht="18.75">
      <c r="A8" s="54">
        <v>4</v>
      </c>
      <c r="B8" s="55" t="s">
        <v>41</v>
      </c>
      <c r="C8" s="56">
        <f>+'[1]งบทดลอง-โปรแกรม61'!$C$12</f>
        <v>10726916.57</v>
      </c>
      <c r="D8" s="56">
        <f>+'[1]งบทดลอง-โปรแกรม61'!$E$12</f>
        <v>294740.02</v>
      </c>
      <c r="E8" s="57" t="e">
        <f>+'[1]งบทดลอง-โปรแกรม61'!$F$12</f>
        <v>#REF!</v>
      </c>
      <c r="F8" s="58" t="e">
        <f>C8+D8-E8</f>
        <v>#REF!</v>
      </c>
      <c r="G8" s="54">
        <v>4</v>
      </c>
      <c r="H8" s="55" t="s">
        <v>41</v>
      </c>
      <c r="I8" s="56">
        <f>+'[1]งบทดลอง-โปรแกรม61'!$C$12</f>
        <v>10726916.57</v>
      </c>
      <c r="J8" s="56">
        <f>294740.02+179978.81</f>
        <v>474718.83</v>
      </c>
      <c r="K8" s="57">
        <v>0</v>
      </c>
      <c r="L8" s="58">
        <f>I8+J8-K8</f>
        <v>11201635.4</v>
      </c>
      <c r="M8" s="54">
        <v>4</v>
      </c>
      <c r="N8" s="55" t="s">
        <v>41</v>
      </c>
      <c r="O8" s="56">
        <f>+'[1]งบทดลอง-โปรแกรม61'!$C$12</f>
        <v>10726916.57</v>
      </c>
      <c r="P8" s="56">
        <f>294740.02+179978.81+207293.5</f>
        <v>682012.3300000001</v>
      </c>
      <c r="Q8" s="57">
        <v>0</v>
      </c>
      <c r="R8" s="58">
        <f>O8+P8-Q8</f>
        <v>11408928.9</v>
      </c>
      <c r="S8" s="54">
        <v>4</v>
      </c>
      <c r="T8" s="55" t="s">
        <v>41</v>
      </c>
      <c r="U8" s="56">
        <f>+'[1]งบทดลอง-โปรแกรม61'!$C$12</f>
        <v>10726916.57</v>
      </c>
      <c r="V8" s="56">
        <f>294740.02+179978.81+207293.5+139261.1</f>
        <v>821273.43</v>
      </c>
      <c r="W8" s="57">
        <v>20406.19</v>
      </c>
      <c r="X8" s="58">
        <f>U8+V8-W8</f>
        <v>11527783.81</v>
      </c>
      <c r="Y8" s="54">
        <v>4</v>
      </c>
      <c r="Z8" s="55" t="s">
        <v>41</v>
      </c>
      <c r="AA8" s="56">
        <f>+'[1]งบทดลอง-โปรแกรม61'!$C$12</f>
        <v>10726916.57</v>
      </c>
      <c r="AB8" s="56">
        <f>294740.02+179978.81+207293.5+139261.1+327450.24</f>
        <v>1148723.67</v>
      </c>
      <c r="AC8" s="57">
        <v>20406.19</v>
      </c>
      <c r="AD8" s="58">
        <f>AA8+AB8-AC8</f>
        <v>11855234.05</v>
      </c>
      <c r="AE8" s="54">
        <v>4</v>
      </c>
      <c r="AF8" s="55" t="s">
        <v>41</v>
      </c>
      <c r="AG8" s="56">
        <f>+'[1]งบทดลอง-โปรแกรม61'!$C$12</f>
        <v>10726916.57</v>
      </c>
      <c r="AH8" s="56">
        <f>294740.02+179978.81+207293.5+139261.1+327450.24+146303.03</f>
        <v>1295026.7</v>
      </c>
      <c r="AI8" s="57">
        <v>20406.19</v>
      </c>
      <c r="AJ8" s="58">
        <f>AG8+AH8-AI8</f>
        <v>12001537.08</v>
      </c>
      <c r="AK8" s="54">
        <v>4</v>
      </c>
      <c r="AL8" s="55" t="s">
        <v>41</v>
      </c>
      <c r="AM8" s="56">
        <f>+'[1]งบทดลอง-โปรแกรม61'!$C$12</f>
        <v>10726916.57</v>
      </c>
      <c r="AN8" s="56">
        <f>294740.02+179978.81+207293.5+139261.1+327450.24+146303.03+67154.1</f>
        <v>1362180.8</v>
      </c>
      <c r="AO8" s="57">
        <v>20406.19</v>
      </c>
      <c r="AP8" s="58">
        <f>AM8+AN8-AO8</f>
        <v>12068691.180000002</v>
      </c>
      <c r="AQ8" s="54">
        <v>4</v>
      </c>
      <c r="AR8" s="55" t="s">
        <v>41</v>
      </c>
      <c r="AS8" s="56">
        <f>+'[1]งบทดลอง-โปรแกรม61'!$C$12</f>
        <v>10726916.57</v>
      </c>
      <c r="AT8" s="56">
        <f>294740.02+179978.81+207293.5+139261.1+327450.24+146303.03+67154.1+66583.77</f>
        <v>1428764.57</v>
      </c>
      <c r="AU8" s="57">
        <v>20406.19</v>
      </c>
      <c r="AV8" s="56">
        <f>AS8+AT8-AU8</f>
        <v>12135274.950000001</v>
      </c>
      <c r="AW8" s="54">
        <v>4</v>
      </c>
      <c r="AX8" s="55" t="s">
        <v>41</v>
      </c>
      <c r="AY8" s="56">
        <f>+'[1]งบทดลอง-โปรแกรม61'!$C$12</f>
        <v>10726916.57</v>
      </c>
      <c r="AZ8" s="56">
        <f>294740.02+179978.81+207293.5+139261.1+327450.24+146303.03+67154.1+66583.77+38441.27</f>
        <v>1467205.84</v>
      </c>
      <c r="BA8" s="57">
        <v>20406.19</v>
      </c>
      <c r="BB8" s="56">
        <f>AY8+AZ8-BA8</f>
        <v>12173716.22</v>
      </c>
      <c r="BC8" s="54">
        <v>4</v>
      </c>
      <c r="BD8" s="55" t="s">
        <v>41</v>
      </c>
      <c r="BE8" s="56">
        <f>+'[1]งบทดลอง-โปรแกรม61'!$C$12</f>
        <v>10726916.57</v>
      </c>
      <c r="BF8" s="56">
        <f>294740.02+179978.81+207293.5+139261.1+327450.24+146303.03+67154.1+66583.77+38441.27</f>
        <v>1467205.84</v>
      </c>
      <c r="BG8" s="57">
        <v>20406.19</v>
      </c>
      <c r="BH8" s="56">
        <f>BE8+BF8-BG8</f>
        <v>12173716.22</v>
      </c>
      <c r="BI8" s="54">
        <v>4</v>
      </c>
      <c r="BJ8" s="55" t="s">
        <v>41</v>
      </c>
      <c r="BK8" s="56">
        <f>+'[1]งบทดลอง-โปรแกรม61'!$C$12</f>
        <v>10726916.57</v>
      </c>
      <c r="BL8" s="56">
        <f>294740.02+179978.81+207293.5+139261.1+327450.24+146303.03+67154.1+66583.77+38441.27+682437.65</f>
        <v>2149643.49</v>
      </c>
      <c r="BM8" s="57">
        <f>20406.19+22190.42</f>
        <v>42596.61</v>
      </c>
      <c r="BN8" s="56">
        <f>BK8+BL8-BM8</f>
        <v>12833963.450000001</v>
      </c>
      <c r="BO8" s="54">
        <v>4</v>
      </c>
      <c r="BP8" s="55" t="s">
        <v>41</v>
      </c>
      <c r="BQ8" s="56">
        <f>+'[1]งบทดลอง-โปรแกรม61'!$C$12</f>
        <v>10726916.57</v>
      </c>
      <c r="BR8" s="56">
        <f>294740.02+179978.81+207293.5+139261.1+327450.24+146303.03+67154.1+66583.77+38441.27+682437.65+661442.15+28522.59</f>
        <v>2839608.23</v>
      </c>
      <c r="BS8" s="57">
        <f>20406.19+22190.42+6</f>
        <v>42602.61</v>
      </c>
      <c r="BT8" s="56">
        <f>BQ8+BR8-BS8</f>
        <v>13523922.190000001</v>
      </c>
    </row>
    <row r="9" spans="1:72" ht="18.75">
      <c r="A9" s="54">
        <v>5</v>
      </c>
      <c r="B9" s="55" t="s">
        <v>42</v>
      </c>
      <c r="C9" s="56">
        <f>+'[1]งบทดลอง-โปรแกรม61'!$C$13</f>
        <v>31152681.71</v>
      </c>
      <c r="D9" s="56">
        <f>+'[1]งบทดลอง-โปรแกรม61'!$E$13</f>
        <v>4302917.99</v>
      </c>
      <c r="E9" s="57">
        <f>+'[1]งบทดลอง-โปรแกรม61'!$F$13</f>
        <v>80791.36</v>
      </c>
      <c r="F9" s="58">
        <f>C9+D9-E9</f>
        <v>35374808.34</v>
      </c>
      <c r="G9" s="54">
        <v>5</v>
      </c>
      <c r="H9" s="55" t="s">
        <v>42</v>
      </c>
      <c r="I9" s="56">
        <f>+'[1]งบทดลอง-โปรแกรม61'!$C$13</f>
        <v>31152681.71</v>
      </c>
      <c r="J9" s="56">
        <f>4302917.99+9341271.46</f>
        <v>13644189.450000001</v>
      </c>
      <c r="K9" s="57">
        <f>80791.36+23111403.59</f>
        <v>23192194.95</v>
      </c>
      <c r="L9" s="58">
        <f>I9+J9-K9</f>
        <v>21604676.210000005</v>
      </c>
      <c r="M9" s="54">
        <v>5</v>
      </c>
      <c r="N9" s="55" t="s">
        <v>42</v>
      </c>
      <c r="O9" s="56">
        <f>+'[1]งบทดลอง-โปรแกรม61'!$C$13</f>
        <v>31152681.71</v>
      </c>
      <c r="P9" s="56">
        <f>4302917.99+9341271.46+3116678.14</f>
        <v>16760867.590000002</v>
      </c>
      <c r="Q9" s="57">
        <f>80791.36+23111403.59</f>
        <v>23192194.95</v>
      </c>
      <c r="R9" s="58">
        <f>O9+P9-Q9</f>
        <v>24721354.350000005</v>
      </c>
      <c r="S9" s="54">
        <v>5</v>
      </c>
      <c r="T9" s="55" t="s">
        <v>42</v>
      </c>
      <c r="U9" s="56">
        <f>+'[1]งบทดลอง-โปรแกรม61'!$C$13</f>
        <v>31152681.71</v>
      </c>
      <c r="V9" s="56">
        <f>4302917.99+9341271.46+3116678.14+4287864.82</f>
        <v>21048732.410000004</v>
      </c>
      <c r="W9" s="57">
        <f>80791.36+23111403.59</f>
        <v>23192194.95</v>
      </c>
      <c r="X9" s="58">
        <f>U9+V9-W9</f>
        <v>29009219.170000006</v>
      </c>
      <c r="Y9" s="54">
        <v>5</v>
      </c>
      <c r="Z9" s="55" t="s">
        <v>42</v>
      </c>
      <c r="AA9" s="56">
        <f>+'[1]งบทดลอง-โปรแกรม61'!$C$13</f>
        <v>31152681.71</v>
      </c>
      <c r="AB9" s="56">
        <f>4302917.99+9341271.46+3116678.14+4287864.82+3779049.71</f>
        <v>24827782.120000005</v>
      </c>
      <c r="AC9" s="57">
        <f>80791.36+23111403.59+15000000</f>
        <v>38192194.95</v>
      </c>
      <c r="AD9" s="58">
        <f>AA9+AB9-AC9</f>
        <v>17788268.880000003</v>
      </c>
      <c r="AE9" s="54">
        <v>5</v>
      </c>
      <c r="AF9" s="55" t="s">
        <v>42</v>
      </c>
      <c r="AG9" s="56">
        <f>+'[1]งบทดลอง-โปรแกรม61'!$C$13</f>
        <v>31152681.71</v>
      </c>
      <c r="AH9" s="56">
        <f>4302917.99+9341271.46+3116678.14+4287864.82+3779049.71+2410180.55</f>
        <v>27237962.670000006</v>
      </c>
      <c r="AI9" s="57">
        <f>80791.36+23111403.59+15000000+2163381.55</f>
        <v>40355576.5</v>
      </c>
      <c r="AJ9" s="58">
        <f>AG9+AH9-AI9</f>
        <v>18035067.88000001</v>
      </c>
      <c r="AK9" s="54">
        <v>5</v>
      </c>
      <c r="AL9" s="55" t="s">
        <v>42</v>
      </c>
      <c r="AM9" s="56">
        <f>+'[1]งบทดลอง-โปรแกรม61'!$C$13</f>
        <v>31152681.71</v>
      </c>
      <c r="AN9" s="56">
        <f>4302917.99+9341271.46+3116678.14+4287864.82+3779049.71+2410180.55+13047809.53</f>
        <v>40285772.2</v>
      </c>
      <c r="AO9" s="57">
        <f>80791.36+23111403.59+15000000+2163381.55</f>
        <v>40355576.5</v>
      </c>
      <c r="AP9" s="58">
        <f>AM9+AN9-AO9</f>
        <v>31082877.409999996</v>
      </c>
      <c r="AQ9" s="54">
        <v>5</v>
      </c>
      <c r="AR9" s="55" t="s">
        <v>42</v>
      </c>
      <c r="AS9" s="56">
        <f>+'[1]งบทดลอง-โปรแกรม61'!$C$13</f>
        <v>31152681.71</v>
      </c>
      <c r="AT9" s="56">
        <f>4302917.99+9341271.46+3116678.14+4287864.82+3779049.71+2410180.55+13047809.53+4371589.85</f>
        <v>44657362.050000004</v>
      </c>
      <c r="AU9" s="57">
        <f>80791.36+23111403.59+15000000+2163381.55+10590386</f>
        <v>50945962.5</v>
      </c>
      <c r="AV9" s="56">
        <f>AS9+AT9-AU9</f>
        <v>24864081.260000005</v>
      </c>
      <c r="AW9" s="54">
        <v>5</v>
      </c>
      <c r="AX9" s="55" t="s">
        <v>42</v>
      </c>
      <c r="AY9" s="56">
        <f>+'[1]งบทดลอง-โปรแกรม61'!$C$13</f>
        <v>31152681.71</v>
      </c>
      <c r="AZ9" s="56">
        <f>4302917.99+9341271.46+3116678.14+4287864.82+3779049.71+2410180.55+13047809.53+4371589.85+3507160.22</f>
        <v>48164522.27</v>
      </c>
      <c r="BA9" s="57">
        <f>80791.36+23111403.59+15000000+2163381.55+10590386</f>
        <v>50945962.5</v>
      </c>
      <c r="BB9" s="56">
        <f>AY9+AZ9-BA9</f>
        <v>28371241.480000004</v>
      </c>
      <c r="BC9" s="54">
        <v>5</v>
      </c>
      <c r="BD9" s="55" t="s">
        <v>42</v>
      </c>
      <c r="BE9" s="56">
        <f>+'[1]งบทดลอง-โปรแกรม61'!$C$13</f>
        <v>31152681.71</v>
      </c>
      <c r="BF9" s="56">
        <f>4302917.99+9341271.46+3116678.14+4287864.82+3779049.71+2410180.55+13047809.53+4371589.85+3507160.22</f>
        <v>48164522.27</v>
      </c>
      <c r="BG9" s="57">
        <f>80791.36+23111403.59+15000000+2163381.55+10590386</f>
        <v>50945962.5</v>
      </c>
      <c r="BH9" s="56">
        <f>BE9+BF9-BG9</f>
        <v>28371241.480000004</v>
      </c>
      <c r="BI9" s="54">
        <v>5</v>
      </c>
      <c r="BJ9" s="55" t="s">
        <v>42</v>
      </c>
      <c r="BK9" s="56">
        <f>+'[1]งบทดลอง-โปรแกรม61'!$C$13</f>
        <v>31152681.71</v>
      </c>
      <c r="BL9" s="56">
        <f>4302917.99+9341271.46+3116678.14+4287864.82+3779049.71+2410180.55+13047809.53+4371589.85+3507160.22+10459328.08</f>
        <v>58623850.35</v>
      </c>
      <c r="BM9" s="57">
        <f>80791.36+23111403.59+15000000+2163381.55+10590386+11558471</f>
        <v>62504433.5</v>
      </c>
      <c r="BN9" s="56">
        <f>BK9+BL9-BM9</f>
        <v>27272098.560000002</v>
      </c>
      <c r="BO9" s="54">
        <v>5</v>
      </c>
      <c r="BP9" s="55" t="s">
        <v>42</v>
      </c>
      <c r="BQ9" s="56">
        <f>+'[1]งบทดลอง-โปรแกรม61'!$C$13</f>
        <v>31152681.71</v>
      </c>
      <c r="BR9" s="56">
        <f>4302917.99+9341271.46+3116678.14+4287864.82+3779049.71+2410180.55+13047809.53+4371589.85+3507160.22+10459328.08+2963390.64+3045118.73</f>
        <v>64632359.72</v>
      </c>
      <c r="BS9" s="57">
        <f>80791.36+23111403.59+15000000+2163381.55+10590386+11558471+20000000</f>
        <v>82504433.5</v>
      </c>
      <c r="BT9" s="56">
        <f>BQ9+BR9-BS9</f>
        <v>13280607.930000007</v>
      </c>
    </row>
    <row r="10" spans="1:72" ht="18.75">
      <c r="A10" s="59">
        <v>6</v>
      </c>
      <c r="B10" s="55" t="s">
        <v>43</v>
      </c>
      <c r="C10" s="56">
        <f>+'[1]งบทดลอง-โปรแกรม61'!$C$14</f>
        <v>1600176.72</v>
      </c>
      <c r="D10" s="56" t="e">
        <f>+'[1]งบทดลอง-โปรแกรม61'!$E$14</f>
        <v>#REF!</v>
      </c>
      <c r="E10" s="57" t="e">
        <f>+'[1]งบทดลอง-โปรแกรม61'!$F$14</f>
        <v>#REF!</v>
      </c>
      <c r="F10" s="58" t="e">
        <f>C10+D10-E10</f>
        <v>#REF!</v>
      </c>
      <c r="G10" s="59">
        <v>6</v>
      </c>
      <c r="H10" s="55" t="s">
        <v>43</v>
      </c>
      <c r="I10" s="56">
        <f>+'[1]งบทดลอง-โปรแกรม61'!$C$14</f>
        <v>1600176.72</v>
      </c>
      <c r="J10" s="56">
        <f>0+3280.39</f>
        <v>3280.39</v>
      </c>
      <c r="K10" s="57">
        <f>0+3280.39</f>
        <v>3280.39</v>
      </c>
      <c r="L10" s="58">
        <f>I10+J10-K10</f>
        <v>1600176.72</v>
      </c>
      <c r="M10" s="59">
        <v>6</v>
      </c>
      <c r="N10" s="55" t="s">
        <v>43</v>
      </c>
      <c r="O10" s="56">
        <f>+'[1]งบทดลอง-โปรแกรม61'!$C$14</f>
        <v>1600176.72</v>
      </c>
      <c r="P10" s="56">
        <f>0+3280.39</f>
        <v>3280.39</v>
      </c>
      <c r="Q10" s="57">
        <f>0+3280.39</f>
        <v>3280.39</v>
      </c>
      <c r="R10" s="58">
        <f>O10+P10-Q10</f>
        <v>1600176.72</v>
      </c>
      <c r="S10" s="59">
        <v>6</v>
      </c>
      <c r="T10" s="55" t="s">
        <v>43</v>
      </c>
      <c r="U10" s="56">
        <f>+'[1]งบทดลอง-โปรแกรม61'!$C$14</f>
        <v>1600176.72</v>
      </c>
      <c r="V10" s="56">
        <f>0+3280.39</f>
        <v>3280.39</v>
      </c>
      <c r="W10" s="57">
        <f>0+3280.39</f>
        <v>3280.39</v>
      </c>
      <c r="X10" s="58">
        <f>U10+V10-W10</f>
        <v>1600176.72</v>
      </c>
      <c r="Y10" s="59">
        <v>6</v>
      </c>
      <c r="Z10" s="55" t="s">
        <v>43</v>
      </c>
      <c r="AA10" s="56">
        <f>+'[1]งบทดลอง-โปรแกรม61'!$C$14</f>
        <v>1600176.72</v>
      </c>
      <c r="AB10" s="56">
        <f>0+3280.39</f>
        <v>3280.39</v>
      </c>
      <c r="AC10" s="57">
        <f>0+3280.39</f>
        <v>3280.39</v>
      </c>
      <c r="AD10" s="58">
        <f>AA10+AB10-AC10</f>
        <v>1600176.72</v>
      </c>
      <c r="AE10" s="59">
        <v>6</v>
      </c>
      <c r="AF10" s="55" t="s">
        <v>43</v>
      </c>
      <c r="AG10" s="56">
        <f>+'[1]งบทดลอง-โปรแกรม61'!$C$14</f>
        <v>1600176.72</v>
      </c>
      <c r="AH10" s="56">
        <f>0+3280.39+0</f>
        <v>3280.39</v>
      </c>
      <c r="AI10" s="57">
        <f>0+3280.39+0</f>
        <v>3280.39</v>
      </c>
      <c r="AJ10" s="58">
        <f>AG10+AH10-AI10</f>
        <v>1600176.72</v>
      </c>
      <c r="AK10" s="59">
        <v>6</v>
      </c>
      <c r="AL10" s="55" t="s">
        <v>43</v>
      </c>
      <c r="AM10" s="56">
        <f>+'[1]งบทดลอง-โปรแกรม61'!$C$14</f>
        <v>1600176.72</v>
      </c>
      <c r="AN10" s="56">
        <f>0+3280.39+0</f>
        <v>3280.39</v>
      </c>
      <c r="AO10" s="57">
        <f>0+3280.39+0</f>
        <v>3280.39</v>
      </c>
      <c r="AP10" s="58">
        <f>AM10+AN10-AO10</f>
        <v>1600176.72</v>
      </c>
      <c r="AQ10" s="59">
        <v>6</v>
      </c>
      <c r="AR10" s="55" t="s">
        <v>43</v>
      </c>
      <c r="AS10" s="56">
        <f>+'[1]งบทดลอง-โปรแกรม61'!$C$14</f>
        <v>1600176.72</v>
      </c>
      <c r="AT10" s="56">
        <f>0+3280.39+0+3105.63</f>
        <v>6386.02</v>
      </c>
      <c r="AU10" s="57">
        <f>0+3280.39+0+3105.63</f>
        <v>6386.02</v>
      </c>
      <c r="AV10" s="56">
        <f>AS10+AT10-AU10</f>
        <v>1600176.72</v>
      </c>
      <c r="AW10" s="59">
        <v>6</v>
      </c>
      <c r="AX10" s="55" t="s">
        <v>43</v>
      </c>
      <c r="AY10" s="56">
        <f>+'[1]งบทดลอง-โปรแกรม61'!$C$14</f>
        <v>1600176.72</v>
      </c>
      <c r="AZ10" s="56">
        <f>0+3280.39+0+3105.63</f>
        <v>6386.02</v>
      </c>
      <c r="BA10" s="57">
        <f>0+3280.39+0+3105.63</f>
        <v>6386.02</v>
      </c>
      <c r="BB10" s="56">
        <f>AY10+AZ10-BA10</f>
        <v>1600176.72</v>
      </c>
      <c r="BC10" s="59">
        <v>6</v>
      </c>
      <c r="BD10" s="55" t="s">
        <v>43</v>
      </c>
      <c r="BE10" s="56">
        <f>+'[1]งบทดลอง-โปรแกรม61'!$C$14</f>
        <v>1600176.72</v>
      </c>
      <c r="BF10" s="56">
        <f>0+3280.39+0+3105.63</f>
        <v>6386.02</v>
      </c>
      <c r="BG10" s="57">
        <f>0+3280.39+0+3105.63</f>
        <v>6386.02</v>
      </c>
      <c r="BH10" s="56">
        <f>BE10+BF10-BG10</f>
        <v>1600176.72</v>
      </c>
      <c r="BI10" s="59">
        <v>6</v>
      </c>
      <c r="BJ10" s="55" t="s">
        <v>43</v>
      </c>
      <c r="BK10" s="56">
        <f>+'[1]งบทดลอง-โปรแกรม61'!$C$14</f>
        <v>1600176.72</v>
      </c>
      <c r="BL10" s="56">
        <f>0+3280.39+0+3105.63</f>
        <v>6386.02</v>
      </c>
      <c r="BM10" s="57">
        <f>0+3280.39+0+3105.63</f>
        <v>6386.02</v>
      </c>
      <c r="BN10" s="56">
        <f>BK10+BL10-BM10</f>
        <v>1600176.72</v>
      </c>
      <c r="BO10" s="59">
        <v>6</v>
      </c>
      <c r="BP10" s="55" t="s">
        <v>43</v>
      </c>
      <c r="BQ10" s="56">
        <f>+'[1]งบทดลอง-โปรแกรม61'!$C$14</f>
        <v>1600176.72</v>
      </c>
      <c r="BR10" s="56">
        <f>0+3280.39+0+3105.63</f>
        <v>6386.02</v>
      </c>
      <c r="BS10" s="57">
        <f>0+3280.39+0+3105.63</f>
        <v>6386.02</v>
      </c>
      <c r="BT10" s="56">
        <f>BQ10+BR10-BS10</f>
        <v>1600176.72</v>
      </c>
    </row>
    <row r="11" spans="1:72" ht="18.75">
      <c r="A11" s="60">
        <v>7</v>
      </c>
      <c r="B11" s="55" t="s">
        <v>67</v>
      </c>
      <c r="C11" s="56">
        <f>+'[1]งบทดลอง-โปรแกรม61'!$C$11</f>
        <v>464563.92</v>
      </c>
      <c r="D11" s="56" t="e">
        <f>+'[1]งบทดลอง-โปรแกรม61'!$E$11</f>
        <v>#REF!</v>
      </c>
      <c r="E11" s="57" t="e">
        <f>+'[1]งบทดลอง-โปรแกรม61'!$F$11</f>
        <v>#REF!</v>
      </c>
      <c r="F11" s="56" t="e">
        <f>+C11+D11-E11</f>
        <v>#REF!</v>
      </c>
      <c r="G11" s="60">
        <v>7</v>
      </c>
      <c r="H11" s="55" t="s">
        <v>67</v>
      </c>
      <c r="I11" s="56">
        <f>+'[1]งบทดลอง-โปรแกรม61'!$C$11</f>
        <v>464563.92</v>
      </c>
      <c r="J11" s="56">
        <v>0</v>
      </c>
      <c r="K11" s="57">
        <v>0</v>
      </c>
      <c r="L11" s="56">
        <f>+I11+J11-K11</f>
        <v>464563.92</v>
      </c>
      <c r="M11" s="60">
        <v>7</v>
      </c>
      <c r="N11" s="55" t="s">
        <v>67</v>
      </c>
      <c r="O11" s="56">
        <f>+'[1]งบทดลอง-โปรแกรม61'!$C$11</f>
        <v>464563.92</v>
      </c>
      <c r="P11" s="56">
        <f>0+34676.06</f>
        <v>34676.06</v>
      </c>
      <c r="Q11" s="57">
        <v>0</v>
      </c>
      <c r="R11" s="56">
        <f>+O11+P11-Q11</f>
        <v>499239.98</v>
      </c>
      <c r="S11" s="60">
        <v>7</v>
      </c>
      <c r="T11" s="55" t="s">
        <v>67</v>
      </c>
      <c r="U11" s="56">
        <f>+'[1]งบทดลอง-โปรแกรม61'!$C$11</f>
        <v>464563.92</v>
      </c>
      <c r="V11" s="56">
        <f>0+34676.06+11653</f>
        <v>46329.06</v>
      </c>
      <c r="W11" s="57">
        <v>892.59</v>
      </c>
      <c r="X11" s="56">
        <f>+U11+V11-W11</f>
        <v>510000.38999999996</v>
      </c>
      <c r="Y11" s="60">
        <v>7</v>
      </c>
      <c r="Z11" s="55" t="s">
        <v>67</v>
      </c>
      <c r="AA11" s="56">
        <f>+'[1]งบทดลอง-โปรแกรม61'!$C$11</f>
        <v>464563.92</v>
      </c>
      <c r="AB11" s="56">
        <f>0+34676.06+11653+585</f>
        <v>46914.06</v>
      </c>
      <c r="AC11" s="57">
        <v>892.59</v>
      </c>
      <c r="AD11" s="56">
        <f>+AA11+AB11-AC11</f>
        <v>510585.38999999996</v>
      </c>
      <c r="AE11" s="60">
        <v>7</v>
      </c>
      <c r="AF11" s="55" t="s">
        <v>67</v>
      </c>
      <c r="AG11" s="56">
        <f>+'[1]งบทดลอง-โปรแกรม61'!$C$11</f>
        <v>464563.92</v>
      </c>
      <c r="AH11" s="56">
        <f>0+34676.06+11653+585+19474.56</f>
        <v>66388.62</v>
      </c>
      <c r="AI11" s="57">
        <v>892.59</v>
      </c>
      <c r="AJ11" s="56">
        <f>+AG11+AH11-AI11</f>
        <v>530059.9500000001</v>
      </c>
      <c r="AK11" s="60">
        <v>7</v>
      </c>
      <c r="AL11" s="55" t="s">
        <v>67</v>
      </c>
      <c r="AM11" s="56">
        <f>+'[1]งบทดลอง-โปรแกรม61'!$C$11</f>
        <v>464563.92</v>
      </c>
      <c r="AN11" s="56">
        <f>0+34676.06+11653+585+19474.56</f>
        <v>66388.62</v>
      </c>
      <c r="AO11" s="57">
        <v>892.59</v>
      </c>
      <c r="AP11" s="56">
        <f>+AM11+AN11-AO11</f>
        <v>530059.9500000001</v>
      </c>
      <c r="AQ11" s="60">
        <v>7</v>
      </c>
      <c r="AR11" s="55" t="s">
        <v>67</v>
      </c>
      <c r="AS11" s="56">
        <f>+'[1]งบทดลอง-โปรแกรม61'!$C$11</f>
        <v>464563.92</v>
      </c>
      <c r="AT11" s="56">
        <f>0+34676.06+11653+585+19474.56</f>
        <v>66388.62</v>
      </c>
      <c r="AU11" s="57">
        <v>892.59</v>
      </c>
      <c r="AV11" s="56">
        <f>+AS11+AT11-AU11</f>
        <v>530059.9500000001</v>
      </c>
      <c r="AW11" s="60">
        <v>7</v>
      </c>
      <c r="AX11" s="55" t="s">
        <v>67</v>
      </c>
      <c r="AY11" s="56">
        <f>+'[1]งบทดลอง-โปรแกรม61'!$C$11</f>
        <v>464563.92</v>
      </c>
      <c r="AZ11" s="56">
        <f>0+34676.06+11653+585+19474.56</f>
        <v>66388.62</v>
      </c>
      <c r="BA11" s="57">
        <v>892.59</v>
      </c>
      <c r="BB11" s="56">
        <f>+AY11+AZ11-BA11</f>
        <v>530059.9500000001</v>
      </c>
      <c r="BC11" s="60">
        <v>7</v>
      </c>
      <c r="BD11" s="55" t="s">
        <v>67</v>
      </c>
      <c r="BE11" s="56">
        <f>+'[1]งบทดลอง-โปรแกรม61'!$C$11</f>
        <v>464563.92</v>
      </c>
      <c r="BF11" s="56">
        <f>0+34676.06+11653+585+19474.56</f>
        <v>66388.62</v>
      </c>
      <c r="BG11" s="57">
        <v>892.59</v>
      </c>
      <c r="BH11" s="56">
        <f>+BE11+BF11-BG11</f>
        <v>530059.9500000001</v>
      </c>
      <c r="BI11" s="60">
        <v>7</v>
      </c>
      <c r="BJ11" s="55" t="s">
        <v>67</v>
      </c>
      <c r="BK11" s="56">
        <f>+'[1]งบทดลอง-โปรแกรม61'!$C$11</f>
        <v>464563.92</v>
      </c>
      <c r="BL11" s="56">
        <f>0+34676.06+11653+585+19474.56+972.81</f>
        <v>67361.43</v>
      </c>
      <c r="BM11" s="57">
        <f>892.59+972.81</f>
        <v>1865.4</v>
      </c>
      <c r="BN11" s="56">
        <f>+BK11+BL11-BM11</f>
        <v>530059.95</v>
      </c>
      <c r="BO11" s="60">
        <v>7</v>
      </c>
      <c r="BP11" s="55" t="s">
        <v>67</v>
      </c>
      <c r="BQ11" s="56">
        <f>+'[1]งบทดลอง-โปรแกรม61'!$C$11</f>
        <v>464563.92</v>
      </c>
      <c r="BR11" s="56">
        <f>0+34676.06+11653+585+19474.56+972.81+596</f>
        <v>67957.43</v>
      </c>
      <c r="BS11" s="57">
        <f>892.59+972.81</f>
        <v>1865.4</v>
      </c>
      <c r="BT11" s="56">
        <f>+BQ11+BR11-BS11</f>
        <v>530655.95</v>
      </c>
    </row>
    <row r="12" spans="1:72" ht="18.75">
      <c r="A12" s="60">
        <v>8</v>
      </c>
      <c r="B12" s="61" t="s">
        <v>148</v>
      </c>
      <c r="C12" s="62">
        <f>+'[1]งบทดลอง-โปรแกรม61'!$C$15</f>
        <v>0</v>
      </c>
      <c r="D12" s="62">
        <f>+'[1]งบทดลอง-โปรแกรม61'!$E$15</f>
        <v>106492</v>
      </c>
      <c r="E12" s="72" t="e">
        <f>+'[1]งบทดลอง-โปรแกรม61'!$F$15</f>
        <v>#REF!</v>
      </c>
      <c r="F12" s="63" t="e">
        <f>+C12+D12-E12</f>
        <v>#REF!</v>
      </c>
      <c r="G12" s="60">
        <v>8</v>
      </c>
      <c r="H12" s="61" t="s">
        <v>157</v>
      </c>
      <c r="I12" s="62">
        <f>+'[1]งบทดลอง-โปรแกรม61'!$C$15</f>
        <v>0</v>
      </c>
      <c r="J12" s="62">
        <f>106492+63078</f>
        <v>169570</v>
      </c>
      <c r="K12" s="72">
        <v>0</v>
      </c>
      <c r="L12" s="63">
        <f>+I12+J12-K12</f>
        <v>169570</v>
      </c>
      <c r="M12" s="60">
        <v>8</v>
      </c>
      <c r="N12" s="61" t="s">
        <v>157</v>
      </c>
      <c r="O12" s="62">
        <f>+'[1]งบทดลอง-โปรแกรม61'!$C$15</f>
        <v>0</v>
      </c>
      <c r="P12" s="62">
        <f>106492+63078+243810</f>
        <v>413380</v>
      </c>
      <c r="Q12" s="72">
        <v>0</v>
      </c>
      <c r="R12" s="63">
        <f>+O12+P12-Q12</f>
        <v>413380</v>
      </c>
      <c r="S12" s="60">
        <v>8</v>
      </c>
      <c r="T12" s="61" t="s">
        <v>157</v>
      </c>
      <c r="U12" s="62">
        <f>+'[1]งบทดลอง-โปรแกรม61'!$C$15</f>
        <v>0</v>
      </c>
      <c r="V12" s="62">
        <f>106492+63078+243810+12200</f>
        <v>425580</v>
      </c>
      <c r="W12" s="72">
        <v>0</v>
      </c>
      <c r="X12" s="63">
        <f>+U12+V12-W12</f>
        <v>425580</v>
      </c>
      <c r="Y12" s="60">
        <v>8</v>
      </c>
      <c r="Z12" s="61" t="s">
        <v>157</v>
      </c>
      <c r="AA12" s="62">
        <f>+'[1]งบทดลอง-โปรแกรม61'!$C$15</f>
        <v>0</v>
      </c>
      <c r="AB12" s="62">
        <f>106492+63078+243810+12200+65262.91</f>
        <v>490842.91000000003</v>
      </c>
      <c r="AC12" s="72">
        <v>0</v>
      </c>
      <c r="AD12" s="63">
        <f>+AA12+AB12-AC12</f>
        <v>490842.91000000003</v>
      </c>
      <c r="AE12" s="60">
        <v>8</v>
      </c>
      <c r="AF12" s="61" t="s">
        <v>157</v>
      </c>
      <c r="AG12" s="62">
        <f>+'[1]งบทดลอง-โปรแกรม61'!$C$15</f>
        <v>0</v>
      </c>
      <c r="AH12" s="62">
        <f>106492+63078+243810+12200+65262.91+13400</f>
        <v>504242.91000000003</v>
      </c>
      <c r="AI12" s="72">
        <v>0</v>
      </c>
      <c r="AJ12" s="63">
        <f>+AG12+AH12-AI12</f>
        <v>504242.91000000003</v>
      </c>
      <c r="AK12" s="60">
        <v>8</v>
      </c>
      <c r="AL12" s="61" t="s">
        <v>157</v>
      </c>
      <c r="AM12" s="62">
        <f>+'[1]งบทดลอง-โปรแกรม61'!$C$15</f>
        <v>0</v>
      </c>
      <c r="AN12" s="62">
        <f>106492+63078+243810+12200+65262.91+13400+100100</f>
        <v>604342.91</v>
      </c>
      <c r="AO12" s="72">
        <v>0</v>
      </c>
      <c r="AP12" s="63">
        <f>+AM12+AN12-AO12</f>
        <v>604342.91</v>
      </c>
      <c r="AQ12" s="60">
        <v>8</v>
      </c>
      <c r="AR12" s="61" t="s">
        <v>157</v>
      </c>
      <c r="AS12" s="62">
        <f>+'[1]งบทดลอง-โปรแกรม61'!$C$15</f>
        <v>0</v>
      </c>
      <c r="AT12" s="62">
        <f>106492+63078+243810+12200+65262.91+13400+100100+12200</f>
        <v>616542.91</v>
      </c>
      <c r="AU12" s="72">
        <v>0</v>
      </c>
      <c r="AV12" s="63">
        <f>+AS12+AT12-AU12</f>
        <v>616542.91</v>
      </c>
      <c r="AW12" s="60">
        <v>8</v>
      </c>
      <c r="AX12" s="61" t="s">
        <v>157</v>
      </c>
      <c r="AY12" s="62">
        <f>+'[1]งบทดลอง-โปรแกรม61'!$C$15</f>
        <v>0</v>
      </c>
      <c r="AZ12" s="62">
        <f>106492+63078+243810+12200+65262.91+13400+100100+12200+17400</f>
        <v>633942.91</v>
      </c>
      <c r="BA12" s="72">
        <v>0</v>
      </c>
      <c r="BB12" s="63">
        <f>+AY12+AZ12-BA12</f>
        <v>633942.91</v>
      </c>
      <c r="BC12" s="60">
        <v>8</v>
      </c>
      <c r="BD12" s="61" t="s">
        <v>157</v>
      </c>
      <c r="BE12" s="62">
        <f>+'[1]งบทดลอง-โปรแกรม61'!$C$15</f>
        <v>0</v>
      </c>
      <c r="BF12" s="62">
        <f>106492+63078+243810+12200+65262.91+13400+100100+12200+17400</f>
        <v>633942.91</v>
      </c>
      <c r="BG12" s="72">
        <v>0</v>
      </c>
      <c r="BH12" s="63">
        <f>+BE12+BF12-BG12</f>
        <v>633942.91</v>
      </c>
      <c r="BI12" s="60">
        <v>8</v>
      </c>
      <c r="BJ12" s="61" t="s">
        <v>157</v>
      </c>
      <c r="BK12" s="62">
        <f>+'[1]งบทดลอง-โปรแกรม61'!$C$15</f>
        <v>0</v>
      </c>
      <c r="BL12" s="62">
        <f>106492+63078+243810+12200+65262.91+13400+100100+12200+17400+16190</f>
        <v>650132.91</v>
      </c>
      <c r="BM12" s="72">
        <v>0</v>
      </c>
      <c r="BN12" s="63">
        <f>+BK12+BL12-BM12</f>
        <v>650132.91</v>
      </c>
      <c r="BO12" s="60">
        <v>8</v>
      </c>
      <c r="BP12" s="61" t="s">
        <v>157</v>
      </c>
      <c r="BQ12" s="62">
        <f>+'[1]งบทดลอง-โปรแกรม61'!$C$15</f>
        <v>0</v>
      </c>
      <c r="BR12" s="62">
        <f>106492+63078+243810+12200+65262.91+13400+100100+12200+17400+16190+4820</f>
        <v>654952.91</v>
      </c>
      <c r="BS12" s="72">
        <f>21300+10686</f>
        <v>31986</v>
      </c>
      <c r="BT12" s="63">
        <f>+BQ12+BR12-BS12</f>
        <v>622966.91</v>
      </c>
    </row>
    <row r="13" spans="1:72" ht="18.75">
      <c r="A13" s="64"/>
      <c r="B13" s="65" t="s">
        <v>7</v>
      </c>
      <c r="C13" s="66">
        <f>C5+C7+C8+C9+C10+C11+C12</f>
        <v>80443382.52</v>
      </c>
      <c r="D13" s="66" t="e">
        <f>D5+D7+D8+D9+D10+D11+D12</f>
        <v>#REF!</v>
      </c>
      <c r="E13" s="66" t="e">
        <f>E5+E7+E8+E9+E10+E11+E12</f>
        <v>#REF!</v>
      </c>
      <c r="F13" s="66" t="e">
        <f>SUM(F5:F12)</f>
        <v>#REF!</v>
      </c>
      <c r="G13" s="64"/>
      <c r="H13" s="65" t="s">
        <v>7</v>
      </c>
      <c r="I13" s="66">
        <f>I5+I7+I8+I9+I10+I11+I12</f>
        <v>80443382.52</v>
      </c>
      <c r="J13" s="66">
        <f>J5+J7+J8+J9+J10+J11+J12</f>
        <v>47390723.190000005</v>
      </c>
      <c r="K13" s="66">
        <f>K5+K7+K8+K9+K10+K11+K12</f>
        <v>39680995.55</v>
      </c>
      <c r="L13" s="66">
        <f>SUM(L5:L12)</f>
        <v>88257013.25</v>
      </c>
      <c r="M13" s="64"/>
      <c r="N13" s="65" t="s">
        <v>7</v>
      </c>
      <c r="O13" s="66">
        <f>O5+O7+O8+O9+O10+O11+O12</f>
        <v>80443382.52</v>
      </c>
      <c r="P13" s="66">
        <f>P5+P7+P8+P9+P10+P11+P12</f>
        <v>60487061.52000001</v>
      </c>
      <c r="Q13" s="66">
        <f>Q5+Q7+Q8+Q9+Q10+Q11+Q12</f>
        <v>51389953.59</v>
      </c>
      <c r="R13" s="66">
        <f>SUM(R5:R12)</f>
        <v>89605542.51</v>
      </c>
      <c r="S13" s="64"/>
      <c r="T13" s="65" t="s">
        <v>7</v>
      </c>
      <c r="U13" s="66">
        <f>U5+U7+U8+U9+U10+U11+U12</f>
        <v>80443382.52</v>
      </c>
      <c r="V13" s="66">
        <f>V5+V7+V8+V9+V10+V11+V12</f>
        <v>74227404.9</v>
      </c>
      <c r="W13" s="66">
        <f>W5+W7+W8+W9+W10+W11+W12</f>
        <v>65558306.08</v>
      </c>
      <c r="X13" s="66">
        <f>SUM(X5:X12)</f>
        <v>89165767.28</v>
      </c>
      <c r="Y13" s="64"/>
      <c r="Z13" s="65" t="s">
        <v>7</v>
      </c>
      <c r="AA13" s="66">
        <f>AA5+AA7+AA8+AA9+AA10+AA11+AA12</f>
        <v>80443382.52</v>
      </c>
      <c r="AB13" s="66">
        <f>AB5+AB7+AB8+AB9+AB10+AB11+AB12</f>
        <v>112830432.76</v>
      </c>
      <c r="AC13" s="66">
        <f>AC5+AC7+AC8+AC9+AC10+AC11+AC12</f>
        <v>109757419.47</v>
      </c>
      <c r="AD13" s="66">
        <f>SUM(AD5:AD12)</f>
        <v>83640079.12999998</v>
      </c>
      <c r="AE13" s="64"/>
      <c r="AF13" s="65" t="s">
        <v>7</v>
      </c>
      <c r="AG13" s="66">
        <f>AG5+AG7+AG8+AG9+AG10+AG11+AG12</f>
        <v>80443382.52</v>
      </c>
      <c r="AH13" s="66">
        <f>AH5+AH7+AH8+AH9+AH10+AH11+AH12</f>
        <v>124070016.69000001</v>
      </c>
      <c r="AI13" s="66">
        <f>AI5+AI7+AI8+AI9+AI10+AI11+AI12</f>
        <v>121034749.27</v>
      </c>
      <c r="AJ13" s="66">
        <f>SUM(AJ5:AJ12)</f>
        <v>83535039.94</v>
      </c>
      <c r="AK13" s="64"/>
      <c r="AL13" s="65" t="s">
        <v>7</v>
      </c>
      <c r="AM13" s="66">
        <f>AM5+AM7+AM8+AM9+AM10+AM11+AM12</f>
        <v>80443382.52</v>
      </c>
      <c r="AN13" s="66">
        <f>AN5+AN7+AN8+AN9+AN10+AN11+AN12</f>
        <v>173247739.39</v>
      </c>
      <c r="AO13" s="66">
        <f>AO5+AO7+AO8+AO9+AO10+AO11+AO12</f>
        <v>168178400.45999998</v>
      </c>
      <c r="AP13" s="66">
        <f>SUM(AP5:AP12)</f>
        <v>85577121.41000001</v>
      </c>
      <c r="AQ13" s="64"/>
      <c r="AR13" s="65" t="s">
        <v>7</v>
      </c>
      <c r="AS13" s="66">
        <f>AS5+AS7+AS8+AS9+AS10+AS11+AS12</f>
        <v>80443382.52</v>
      </c>
      <c r="AT13" s="66">
        <f>AT5+AT7+AT8+AT9+AT10+AT11+AT12</f>
        <v>196445765.63000003</v>
      </c>
      <c r="AU13" s="66">
        <f>AU5+AU7+AU8+AU9+AU10+AU11+AU12</f>
        <v>192383973.9</v>
      </c>
      <c r="AV13" s="66">
        <f>SUM(AV5:AV12)</f>
        <v>84597684.23000003</v>
      </c>
      <c r="AW13" s="64"/>
      <c r="AX13" s="65" t="s">
        <v>7</v>
      </c>
      <c r="AY13" s="66">
        <f>AY5+AY7+AY8+AY9+AY10+AY11+AY12</f>
        <v>80443382.52</v>
      </c>
      <c r="AZ13" s="66">
        <f>AZ5+AZ7+AZ8+AZ9+AZ10+AZ11+AZ12</f>
        <v>208653938.73000005</v>
      </c>
      <c r="BA13" s="66">
        <f>BA5+BA7+BA8+BA9+BA10+BA11+BA12</f>
        <v>209515456.68</v>
      </c>
      <c r="BB13" s="66">
        <f>SUM(BB5:BB12)</f>
        <v>79658798.29000004</v>
      </c>
      <c r="BC13" s="64"/>
      <c r="BD13" s="65" t="s">
        <v>7</v>
      </c>
      <c r="BE13" s="66">
        <f>BE5+BE7+BE8+BE9+BE10+BE11+BE12</f>
        <v>80443382.52</v>
      </c>
      <c r="BF13" s="66">
        <f>BF5+BF7+BF8+BF9+BF10+BF11+BF12</f>
        <v>208653938.73000005</v>
      </c>
      <c r="BG13" s="66">
        <f>BG5+BG7+BG8+BG9+BG10+BG11+BG12</f>
        <v>209515456.68</v>
      </c>
      <c r="BH13" s="66">
        <f>SUM(BH5:BH12)</f>
        <v>79658798.29000004</v>
      </c>
      <c r="BI13" s="64"/>
      <c r="BJ13" s="65" t="s">
        <v>7</v>
      </c>
      <c r="BK13" s="66">
        <f>BK5+BK7+BK8+BK9+BK10+BK11+BK12</f>
        <v>80443382.52</v>
      </c>
      <c r="BL13" s="66">
        <f>BL5+BL7+BL8+BL9+BL10+BL11+BL12</f>
        <v>250901235.92000005</v>
      </c>
      <c r="BM13" s="66">
        <f>BM5+BM7+BM8+BM9+BM10+BM11+BM12</f>
        <v>246538319.25</v>
      </c>
      <c r="BN13" s="66">
        <f>SUM(BN5:BN12)</f>
        <v>84873128.92000005</v>
      </c>
      <c r="BO13" s="64"/>
      <c r="BP13" s="65" t="s">
        <v>7</v>
      </c>
      <c r="BQ13" s="66">
        <f>BQ5+BQ7+BQ8+BQ9+BQ10+BQ11+BQ12</f>
        <v>80443382.52</v>
      </c>
      <c r="BR13" s="66">
        <f>BR5+BR7+BR8+BR9+BR10+BR11+BR12</f>
        <v>311354372.27000004</v>
      </c>
      <c r="BS13" s="66">
        <f>BS5+BS7+BS8+BS9+BS10+BS11+BS12</f>
        <v>318555835.8299999</v>
      </c>
      <c r="BT13" s="66">
        <f>SUM(BT5:BT12)</f>
        <v>73333399.77000006</v>
      </c>
    </row>
    <row r="14" spans="2:72" ht="18.75">
      <c r="B14" s="67"/>
      <c r="C14" s="68"/>
      <c r="D14" s="68"/>
      <c r="E14" s="68"/>
      <c r="F14" s="68"/>
      <c r="H14" s="67"/>
      <c r="I14" s="68"/>
      <c r="J14" s="68"/>
      <c r="K14" s="68"/>
      <c r="L14" s="68"/>
      <c r="N14" s="67"/>
      <c r="O14" s="68"/>
      <c r="P14" s="68"/>
      <c r="Q14" s="68"/>
      <c r="R14" s="68"/>
      <c r="T14" s="67"/>
      <c r="U14" s="68"/>
      <c r="V14" s="68"/>
      <c r="W14" s="68"/>
      <c r="X14" s="68"/>
      <c r="Z14" s="67"/>
      <c r="AA14" s="68"/>
      <c r="AB14" s="68"/>
      <c r="AC14" s="68"/>
      <c r="AD14" s="68"/>
      <c r="AF14" s="67"/>
      <c r="AG14" s="68"/>
      <c r="AH14" s="68"/>
      <c r="AI14" s="68"/>
      <c r="AJ14" s="68"/>
      <c r="AL14" s="67"/>
      <c r="AM14" s="68"/>
      <c r="AN14" s="68"/>
      <c r="AO14" s="68"/>
      <c r="AP14" s="68"/>
      <c r="AR14" s="67"/>
      <c r="AS14" s="68"/>
      <c r="AT14" s="68"/>
      <c r="AU14" s="68"/>
      <c r="AV14" s="68"/>
      <c r="AX14" s="67"/>
      <c r="AY14" s="68"/>
      <c r="AZ14" s="68"/>
      <c r="BA14" s="68"/>
      <c r="BB14" s="68"/>
      <c r="BD14" s="67"/>
      <c r="BE14" s="68"/>
      <c r="BF14" s="68"/>
      <c r="BG14" s="68"/>
      <c r="BH14" s="68"/>
      <c r="BJ14" s="67"/>
      <c r="BK14" s="68"/>
      <c r="BL14" s="68"/>
      <c r="BM14" s="68"/>
      <c r="BN14" s="68"/>
      <c r="BP14" s="67"/>
      <c r="BQ14" s="68"/>
      <c r="BR14" s="68"/>
      <c r="BS14" s="68"/>
      <c r="BT14" s="68"/>
    </row>
    <row r="16" spans="1:72" ht="21">
      <c r="A16" s="320" t="s">
        <v>116</v>
      </c>
      <c r="B16" s="320"/>
      <c r="C16" s="320"/>
      <c r="D16" s="320"/>
      <c r="E16" s="320"/>
      <c r="F16" s="320"/>
      <c r="G16" s="320" t="s">
        <v>116</v>
      </c>
      <c r="H16" s="320"/>
      <c r="I16" s="320"/>
      <c r="J16" s="320"/>
      <c r="K16" s="320"/>
      <c r="L16" s="320"/>
      <c r="M16" s="320" t="s">
        <v>116</v>
      </c>
      <c r="N16" s="320"/>
      <c r="O16" s="320"/>
      <c r="P16" s="320"/>
      <c r="Q16" s="320"/>
      <c r="R16" s="320"/>
      <c r="S16" s="320" t="s">
        <v>116</v>
      </c>
      <c r="T16" s="320"/>
      <c r="U16" s="320"/>
      <c r="V16" s="320"/>
      <c r="W16" s="320"/>
      <c r="X16" s="320"/>
      <c r="Y16" s="320" t="s">
        <v>116</v>
      </c>
      <c r="Z16" s="320"/>
      <c r="AA16" s="320"/>
      <c r="AB16" s="320"/>
      <c r="AC16" s="320"/>
      <c r="AD16" s="320"/>
      <c r="AE16" s="320" t="s">
        <v>116</v>
      </c>
      <c r="AF16" s="320"/>
      <c r="AG16" s="320"/>
      <c r="AH16" s="320"/>
      <c r="AI16" s="320"/>
      <c r="AJ16" s="320"/>
      <c r="AK16" s="320" t="s">
        <v>116</v>
      </c>
      <c r="AL16" s="320"/>
      <c r="AM16" s="320"/>
      <c r="AN16" s="320"/>
      <c r="AO16" s="320"/>
      <c r="AP16" s="320"/>
      <c r="AQ16" s="320" t="s">
        <v>116</v>
      </c>
      <c r="AR16" s="320"/>
      <c r="AS16" s="320"/>
      <c r="AT16" s="320"/>
      <c r="AU16" s="320"/>
      <c r="AV16" s="320"/>
      <c r="AW16" s="320" t="s">
        <v>116</v>
      </c>
      <c r="AX16" s="320"/>
      <c r="AY16" s="320"/>
      <c r="AZ16" s="320"/>
      <c r="BA16" s="320"/>
      <c r="BB16" s="320"/>
      <c r="BC16" s="320" t="s">
        <v>116</v>
      </c>
      <c r="BD16" s="320"/>
      <c r="BE16" s="320"/>
      <c r="BF16" s="320"/>
      <c r="BG16" s="320"/>
      <c r="BH16" s="320"/>
      <c r="BI16" s="320" t="s">
        <v>116</v>
      </c>
      <c r="BJ16" s="320"/>
      <c r="BK16" s="320"/>
      <c r="BL16" s="320"/>
      <c r="BM16" s="320"/>
      <c r="BN16" s="320"/>
      <c r="BO16" s="320" t="s">
        <v>116</v>
      </c>
      <c r="BP16" s="320"/>
      <c r="BQ16" s="320"/>
      <c r="BR16" s="320"/>
      <c r="BS16" s="320"/>
      <c r="BT16" s="320"/>
    </row>
    <row r="18" spans="1:72" ht="18.75">
      <c r="A18" s="328" t="s">
        <v>30</v>
      </c>
      <c r="B18" s="328" t="s">
        <v>2</v>
      </c>
      <c r="C18" s="46" t="s">
        <v>37</v>
      </c>
      <c r="D18" s="46" t="s">
        <v>35</v>
      </c>
      <c r="E18" s="46" t="s">
        <v>36</v>
      </c>
      <c r="F18" s="46" t="s">
        <v>39</v>
      </c>
      <c r="G18" s="328" t="s">
        <v>30</v>
      </c>
      <c r="H18" s="328" t="s">
        <v>2</v>
      </c>
      <c r="I18" s="46" t="s">
        <v>37</v>
      </c>
      <c r="J18" s="46" t="s">
        <v>35</v>
      </c>
      <c r="K18" s="46" t="s">
        <v>36</v>
      </c>
      <c r="L18" s="46" t="s">
        <v>39</v>
      </c>
      <c r="M18" s="328" t="s">
        <v>30</v>
      </c>
      <c r="N18" s="328" t="s">
        <v>2</v>
      </c>
      <c r="O18" s="46" t="s">
        <v>37</v>
      </c>
      <c r="P18" s="46" t="s">
        <v>35</v>
      </c>
      <c r="Q18" s="46" t="s">
        <v>36</v>
      </c>
      <c r="R18" s="46" t="s">
        <v>39</v>
      </c>
      <c r="S18" s="328" t="s">
        <v>30</v>
      </c>
      <c r="T18" s="328" t="s">
        <v>2</v>
      </c>
      <c r="U18" s="46" t="s">
        <v>37</v>
      </c>
      <c r="V18" s="46" t="s">
        <v>35</v>
      </c>
      <c r="W18" s="46" t="s">
        <v>36</v>
      </c>
      <c r="X18" s="46" t="s">
        <v>39</v>
      </c>
      <c r="Y18" s="328" t="s">
        <v>30</v>
      </c>
      <c r="Z18" s="328" t="s">
        <v>2</v>
      </c>
      <c r="AA18" s="46" t="s">
        <v>37</v>
      </c>
      <c r="AB18" s="46" t="s">
        <v>35</v>
      </c>
      <c r="AC18" s="46" t="s">
        <v>36</v>
      </c>
      <c r="AD18" s="46" t="s">
        <v>39</v>
      </c>
      <c r="AE18" s="328" t="s">
        <v>30</v>
      </c>
      <c r="AF18" s="328" t="s">
        <v>2</v>
      </c>
      <c r="AG18" s="46" t="s">
        <v>37</v>
      </c>
      <c r="AH18" s="46" t="s">
        <v>35</v>
      </c>
      <c r="AI18" s="46" t="s">
        <v>36</v>
      </c>
      <c r="AJ18" s="46" t="s">
        <v>39</v>
      </c>
      <c r="AK18" s="328" t="s">
        <v>30</v>
      </c>
      <c r="AL18" s="328" t="s">
        <v>2</v>
      </c>
      <c r="AM18" s="46" t="s">
        <v>37</v>
      </c>
      <c r="AN18" s="46" t="s">
        <v>35</v>
      </c>
      <c r="AO18" s="46" t="s">
        <v>36</v>
      </c>
      <c r="AP18" s="46" t="s">
        <v>39</v>
      </c>
      <c r="AQ18" s="328" t="s">
        <v>30</v>
      </c>
      <c r="AR18" s="328" t="s">
        <v>2</v>
      </c>
      <c r="AS18" s="278" t="s">
        <v>37</v>
      </c>
      <c r="AT18" s="278" t="s">
        <v>35</v>
      </c>
      <c r="AU18" s="278" t="s">
        <v>36</v>
      </c>
      <c r="AV18" s="278" t="s">
        <v>39</v>
      </c>
      <c r="AW18" s="328" t="s">
        <v>30</v>
      </c>
      <c r="AX18" s="328" t="s">
        <v>2</v>
      </c>
      <c r="AY18" s="278" t="s">
        <v>37</v>
      </c>
      <c r="AZ18" s="278" t="s">
        <v>35</v>
      </c>
      <c r="BA18" s="278" t="s">
        <v>36</v>
      </c>
      <c r="BB18" s="278" t="s">
        <v>39</v>
      </c>
      <c r="BC18" s="328" t="s">
        <v>30</v>
      </c>
      <c r="BD18" s="328" t="s">
        <v>2</v>
      </c>
      <c r="BE18" s="278" t="s">
        <v>37</v>
      </c>
      <c r="BF18" s="278" t="s">
        <v>35</v>
      </c>
      <c r="BG18" s="278" t="s">
        <v>36</v>
      </c>
      <c r="BH18" s="278" t="s">
        <v>39</v>
      </c>
      <c r="BI18" s="328" t="s">
        <v>30</v>
      </c>
      <c r="BJ18" s="328" t="s">
        <v>2</v>
      </c>
      <c r="BK18" s="278" t="s">
        <v>37</v>
      </c>
      <c r="BL18" s="278" t="s">
        <v>35</v>
      </c>
      <c r="BM18" s="278" t="s">
        <v>36</v>
      </c>
      <c r="BN18" s="278" t="s">
        <v>39</v>
      </c>
      <c r="BO18" s="328" t="s">
        <v>30</v>
      </c>
      <c r="BP18" s="328" t="s">
        <v>2</v>
      </c>
      <c r="BQ18" s="278" t="s">
        <v>37</v>
      </c>
      <c r="BR18" s="278" t="s">
        <v>35</v>
      </c>
      <c r="BS18" s="278" t="s">
        <v>36</v>
      </c>
      <c r="BT18" s="278" t="s">
        <v>39</v>
      </c>
    </row>
    <row r="19" spans="1:72" ht="18.75">
      <c r="A19" s="329"/>
      <c r="B19" s="329"/>
      <c r="C19" s="47" t="s">
        <v>147</v>
      </c>
      <c r="D19" s="48" t="s">
        <v>38</v>
      </c>
      <c r="E19" s="48" t="s">
        <v>38</v>
      </c>
      <c r="F19" s="47" t="s">
        <v>146</v>
      </c>
      <c r="G19" s="329"/>
      <c r="H19" s="329"/>
      <c r="I19" s="47" t="s">
        <v>147</v>
      </c>
      <c r="J19" s="48" t="s">
        <v>38</v>
      </c>
      <c r="K19" s="48" t="s">
        <v>38</v>
      </c>
      <c r="L19" s="47" t="s">
        <v>159</v>
      </c>
      <c r="M19" s="329"/>
      <c r="N19" s="329"/>
      <c r="O19" s="47" t="s">
        <v>147</v>
      </c>
      <c r="P19" s="48" t="s">
        <v>38</v>
      </c>
      <c r="Q19" s="48" t="s">
        <v>38</v>
      </c>
      <c r="R19" s="47" t="s">
        <v>164</v>
      </c>
      <c r="S19" s="329"/>
      <c r="T19" s="329"/>
      <c r="U19" s="47" t="s">
        <v>147</v>
      </c>
      <c r="V19" s="48" t="s">
        <v>38</v>
      </c>
      <c r="W19" s="48" t="s">
        <v>38</v>
      </c>
      <c r="X19" s="47" t="s">
        <v>169</v>
      </c>
      <c r="Y19" s="329"/>
      <c r="Z19" s="329"/>
      <c r="AA19" s="47" t="s">
        <v>147</v>
      </c>
      <c r="AB19" s="48" t="s">
        <v>38</v>
      </c>
      <c r="AC19" s="48" t="s">
        <v>38</v>
      </c>
      <c r="AD19" s="47" t="s">
        <v>177</v>
      </c>
      <c r="AE19" s="329"/>
      <c r="AF19" s="329"/>
      <c r="AG19" s="47" t="s">
        <v>147</v>
      </c>
      <c r="AH19" s="48" t="s">
        <v>38</v>
      </c>
      <c r="AI19" s="48" t="s">
        <v>38</v>
      </c>
      <c r="AJ19" s="47" t="s">
        <v>179</v>
      </c>
      <c r="AK19" s="329"/>
      <c r="AL19" s="329"/>
      <c r="AM19" s="47" t="s">
        <v>147</v>
      </c>
      <c r="AN19" s="48" t="s">
        <v>38</v>
      </c>
      <c r="AO19" s="48" t="s">
        <v>38</v>
      </c>
      <c r="AP19" s="47" t="s">
        <v>187</v>
      </c>
      <c r="AQ19" s="329"/>
      <c r="AR19" s="329"/>
      <c r="AS19" s="279" t="s">
        <v>147</v>
      </c>
      <c r="AT19" s="280" t="s">
        <v>38</v>
      </c>
      <c r="AU19" s="280" t="s">
        <v>38</v>
      </c>
      <c r="AV19" s="279" t="s">
        <v>191</v>
      </c>
      <c r="AW19" s="329"/>
      <c r="AX19" s="329"/>
      <c r="AY19" s="279" t="s">
        <v>147</v>
      </c>
      <c r="AZ19" s="280" t="s">
        <v>38</v>
      </c>
      <c r="BA19" s="280" t="s">
        <v>38</v>
      </c>
      <c r="BB19" s="279" t="s">
        <v>200</v>
      </c>
      <c r="BC19" s="329"/>
      <c r="BD19" s="329"/>
      <c r="BE19" s="279" t="s">
        <v>147</v>
      </c>
      <c r="BF19" s="280" t="s">
        <v>38</v>
      </c>
      <c r="BG19" s="280" t="s">
        <v>38</v>
      </c>
      <c r="BH19" s="279" t="s">
        <v>200</v>
      </c>
      <c r="BI19" s="329"/>
      <c r="BJ19" s="329"/>
      <c r="BK19" s="279" t="s">
        <v>147</v>
      </c>
      <c r="BL19" s="280" t="s">
        <v>38</v>
      </c>
      <c r="BM19" s="280" t="s">
        <v>38</v>
      </c>
      <c r="BN19" s="279" t="s">
        <v>205</v>
      </c>
      <c r="BO19" s="329"/>
      <c r="BP19" s="329"/>
      <c r="BQ19" s="279" t="s">
        <v>147</v>
      </c>
      <c r="BR19" s="280" t="s">
        <v>38</v>
      </c>
      <c r="BS19" s="280" t="s">
        <v>38</v>
      </c>
      <c r="BT19" s="279" t="s">
        <v>209</v>
      </c>
    </row>
    <row r="20" spans="1:72" ht="18.75">
      <c r="A20" s="246">
        <v>1</v>
      </c>
      <c r="B20" s="247" t="s">
        <v>150</v>
      </c>
      <c r="C20" s="51">
        <f>+'[1]งบทดลอง-โปรแกรม61'!$D$189</f>
        <v>1120300</v>
      </c>
      <c r="D20" s="248">
        <f>+'[1]งบทดลอง-โปรแกรม61'!$F$189</f>
        <v>370900</v>
      </c>
      <c r="E20" s="248">
        <f>+'[1]งบทดลอง-โปรแกรม61'!$E$189</f>
        <v>304700</v>
      </c>
      <c r="F20" s="69">
        <f>C20+D20-E20</f>
        <v>1186500</v>
      </c>
      <c r="G20" s="246">
        <v>1</v>
      </c>
      <c r="H20" s="247" t="s">
        <v>150</v>
      </c>
      <c r="I20" s="51">
        <f>+'[1]งบทดลอง-โปรแกรม61'!$D$189</f>
        <v>1120300</v>
      </c>
      <c r="J20" s="248">
        <f>370900+409600</f>
        <v>780500</v>
      </c>
      <c r="K20" s="248">
        <f>304700+311100</f>
        <v>615800</v>
      </c>
      <c r="L20" s="69">
        <f>I20+J20-K20</f>
        <v>1285000</v>
      </c>
      <c r="M20" s="246">
        <v>1</v>
      </c>
      <c r="N20" s="247" t="s">
        <v>150</v>
      </c>
      <c r="O20" s="51">
        <f>+'[1]งบทดลอง-โปรแกรม61'!$D$189</f>
        <v>1120300</v>
      </c>
      <c r="P20" s="248">
        <f>370900+409600+307300</f>
        <v>1087800</v>
      </c>
      <c r="Q20" s="248">
        <f>304700+311100+354800</f>
        <v>970600</v>
      </c>
      <c r="R20" s="69">
        <f>O20+P20-Q20</f>
        <v>1237500</v>
      </c>
      <c r="S20" s="246">
        <v>1</v>
      </c>
      <c r="T20" s="247" t="s">
        <v>150</v>
      </c>
      <c r="U20" s="51">
        <f>+'[1]งบทดลอง-โปรแกรม61'!$D$189</f>
        <v>1120300</v>
      </c>
      <c r="V20" s="248">
        <f>370900+409600+307300+276700</f>
        <v>1364500</v>
      </c>
      <c r="W20" s="248">
        <f>304700+311100+354800+344800</f>
        <v>1315400</v>
      </c>
      <c r="X20" s="69">
        <f>U20+V20-W20</f>
        <v>1169400</v>
      </c>
      <c r="Y20" s="246">
        <v>1</v>
      </c>
      <c r="Z20" s="247" t="s">
        <v>150</v>
      </c>
      <c r="AA20" s="51">
        <f>+'[1]งบทดลอง-โปรแกรม61'!$D$189</f>
        <v>1120300</v>
      </c>
      <c r="AB20" s="248">
        <f>370900+409600+307300+276700+228300</f>
        <v>1592800</v>
      </c>
      <c r="AC20" s="248">
        <f>304700+311100+354800+344800+291700</f>
        <v>1607100</v>
      </c>
      <c r="AD20" s="69">
        <f>AA20+AB20-AC20</f>
        <v>1106000</v>
      </c>
      <c r="AE20" s="246">
        <v>1</v>
      </c>
      <c r="AF20" s="247" t="s">
        <v>150</v>
      </c>
      <c r="AG20" s="51">
        <f>+'[1]งบทดลอง-โปรแกรม61'!$D$189</f>
        <v>1120300</v>
      </c>
      <c r="AH20" s="248">
        <f>370900+409600+307300+276700+228300+318800</f>
        <v>1911600</v>
      </c>
      <c r="AI20" s="248">
        <f>304700+311100+354800+344800+291700+304900</f>
        <v>1912000</v>
      </c>
      <c r="AJ20" s="69">
        <f>AG20+AH20-AI20</f>
        <v>1119900</v>
      </c>
      <c r="AK20" s="246">
        <v>1</v>
      </c>
      <c r="AL20" s="247" t="s">
        <v>150</v>
      </c>
      <c r="AM20" s="51">
        <f>+'[1]งบทดลอง-โปรแกรม61'!$D$189</f>
        <v>1120300</v>
      </c>
      <c r="AN20" s="248">
        <f>370900+409600+307300+276700+228300+318800+362700</f>
        <v>2274300</v>
      </c>
      <c r="AO20" s="248">
        <f>304700+311100+354800+344800+291700+304900+381500</f>
        <v>2293500</v>
      </c>
      <c r="AP20" s="69">
        <f>AM20+AN20-AO20</f>
        <v>1101100</v>
      </c>
      <c r="AQ20" s="246">
        <v>1</v>
      </c>
      <c r="AR20" s="247" t="s">
        <v>150</v>
      </c>
      <c r="AS20" s="51">
        <f>+'[1]งบทดลอง-โปรแกรม61'!$D$189</f>
        <v>1120300</v>
      </c>
      <c r="AT20" s="248">
        <f>370900+409600+307300+276700+228300+318800+362700+325100</f>
        <v>2599400</v>
      </c>
      <c r="AU20" s="248">
        <f>304700+311100+354800+344800+291700+304900+381500+334300</f>
        <v>2627800</v>
      </c>
      <c r="AV20" s="69">
        <f>AS20+AT20-AU20</f>
        <v>1091900</v>
      </c>
      <c r="AW20" s="246">
        <v>1</v>
      </c>
      <c r="AX20" s="247" t="s">
        <v>150</v>
      </c>
      <c r="AY20" s="51">
        <f>+'[1]งบทดลอง-โปรแกรม61'!$D$189</f>
        <v>1120300</v>
      </c>
      <c r="AZ20" s="248">
        <f>370900+409600+307300+276700+228300+318800+362700+325100+237900</f>
        <v>2837300</v>
      </c>
      <c r="BA20" s="248">
        <f>304700+311100+354800+344800+291700+304900+381500+334300+343500</f>
        <v>2971300</v>
      </c>
      <c r="BB20" s="69">
        <f>AY20+AZ20-BA20</f>
        <v>986300</v>
      </c>
      <c r="BC20" s="246">
        <v>1</v>
      </c>
      <c r="BD20" s="247" t="s">
        <v>150</v>
      </c>
      <c r="BE20" s="51">
        <f>+'[1]งบทดลอง-โปรแกรม61'!$D$189</f>
        <v>1120300</v>
      </c>
      <c r="BF20" s="248">
        <f>370900+409600+307300+276700+228300+318800+362700+325100+237900</f>
        <v>2837300</v>
      </c>
      <c r="BG20" s="248">
        <f>304700+311100+354800+344800+291700+304900+381500+334300+343500</f>
        <v>2971300</v>
      </c>
      <c r="BH20" s="69">
        <f>BE20+BF20-BG20</f>
        <v>986300</v>
      </c>
      <c r="BI20" s="246">
        <v>1</v>
      </c>
      <c r="BJ20" s="247" t="s">
        <v>150</v>
      </c>
      <c r="BK20" s="51">
        <f>+'[1]งบทดลอง-โปรแกรม61'!$D$189</f>
        <v>1120300</v>
      </c>
      <c r="BL20" s="248">
        <f>370900+409600+307300+276700+228300+318800+362700+325100+237900+395600</f>
        <v>3232900</v>
      </c>
      <c r="BM20" s="248">
        <f>304700+311100+354800+344800+291700+304900+381500+334300+343500+331600</f>
        <v>3302900</v>
      </c>
      <c r="BN20" s="69">
        <f>BK20+BL20-BM20</f>
        <v>1050300</v>
      </c>
      <c r="BO20" s="246">
        <v>1</v>
      </c>
      <c r="BP20" s="247" t="s">
        <v>150</v>
      </c>
      <c r="BQ20" s="51">
        <f>+'[1]งบทดลอง-โปรแกรม61'!$D$189</f>
        <v>1120300</v>
      </c>
      <c r="BR20" s="248">
        <f>370900+409600+307300+276700+228300+318800+362700+325100+237900+395600+403690+527500</f>
        <v>4164090</v>
      </c>
      <c r="BS20" s="248">
        <f>304700+311100+354800+344800+291700+304900+381500+334300+343500+331600+399900+342300</f>
        <v>4045100</v>
      </c>
      <c r="BT20" s="69">
        <f>BQ20+BR20-BS20</f>
        <v>1239290</v>
      </c>
    </row>
    <row r="21" spans="1:72" ht="18.75">
      <c r="A21" s="70">
        <v>2</v>
      </c>
      <c r="B21" s="71" t="s">
        <v>151</v>
      </c>
      <c r="C21" s="69">
        <f>+'[1]งบทดลอง-โปรแกรม61'!$D$190</f>
        <v>63674.92</v>
      </c>
      <c r="D21" s="69">
        <f>+'[1]งบทดลอง-โปรแกรม61'!$F$190</f>
        <v>59321.99</v>
      </c>
      <c r="E21" s="69" t="e">
        <f>+'[1]งบทดลอง-โปรแกรม61'!$E$190</f>
        <v>#REF!</v>
      </c>
      <c r="F21" s="69" t="e">
        <f>C21+D21-E21</f>
        <v>#REF!</v>
      </c>
      <c r="G21" s="70">
        <v>2</v>
      </c>
      <c r="H21" s="71" t="s">
        <v>151</v>
      </c>
      <c r="I21" s="69">
        <f>+'[1]งบทดลอง-โปรแกรม61'!$D$190</f>
        <v>63674.92</v>
      </c>
      <c r="J21" s="69">
        <f>59321.99+74364.6</f>
        <v>133686.59</v>
      </c>
      <c r="K21" s="69">
        <f>0+93458.42</f>
        <v>93458.42</v>
      </c>
      <c r="L21" s="69">
        <f>I21+J21-K21</f>
        <v>103903.09000000001</v>
      </c>
      <c r="M21" s="70">
        <v>2</v>
      </c>
      <c r="N21" s="71" t="s">
        <v>151</v>
      </c>
      <c r="O21" s="69">
        <f>+'[1]งบทดลอง-โปรแกรม61'!$D$190</f>
        <v>63674.92</v>
      </c>
      <c r="P21" s="69">
        <f>59321.99+74364.6+65491.43</f>
        <v>199178.02</v>
      </c>
      <c r="Q21" s="69">
        <f>0+93458.42+104342.46</f>
        <v>197800.88</v>
      </c>
      <c r="R21" s="69">
        <f>O21+P21-Q21</f>
        <v>65052.06</v>
      </c>
      <c r="S21" s="70">
        <v>2</v>
      </c>
      <c r="T21" s="71" t="s">
        <v>151</v>
      </c>
      <c r="U21" s="69">
        <f>+'[1]งบทดลอง-โปรแกรม61'!$D$190</f>
        <v>63674.92</v>
      </c>
      <c r="V21" s="69">
        <f>59321.99+74364.6+65491.43+53285.94</f>
        <v>252463.96</v>
      </c>
      <c r="W21" s="69">
        <f>0+93458.42+104342.46+65052.06</f>
        <v>262852.94</v>
      </c>
      <c r="X21" s="69">
        <f>U21+V21-W21</f>
        <v>53285.94</v>
      </c>
      <c r="Y21" s="70">
        <v>2</v>
      </c>
      <c r="Z21" s="71" t="s">
        <v>151</v>
      </c>
      <c r="AA21" s="69">
        <f>+'[1]งบทดลอง-โปรแกรม61'!$D$190</f>
        <v>63674.92</v>
      </c>
      <c r="AB21" s="69">
        <f>59321.99+74364.6+65491.43+53285.94+70397.38</f>
        <v>322861.33999999997</v>
      </c>
      <c r="AC21" s="69">
        <f>0+93458.42+104342.46+65052.06</f>
        <v>262852.94</v>
      </c>
      <c r="AD21" s="69">
        <f>AA21+AB21-AC21</f>
        <v>123683.31999999995</v>
      </c>
      <c r="AE21" s="70">
        <v>2</v>
      </c>
      <c r="AF21" s="71" t="s">
        <v>151</v>
      </c>
      <c r="AG21" s="69">
        <f>+'[1]งบทดลอง-โปรแกรม61'!$D$190</f>
        <v>63674.92</v>
      </c>
      <c r="AH21" s="69">
        <f>59321.99+74364.6+65491.43+53285.94+70397.38+57381.03</f>
        <v>380242.37</v>
      </c>
      <c r="AI21" s="69">
        <f>0+93458.42+104342.46+65052.06+124674.35</f>
        <v>387527.29000000004</v>
      </c>
      <c r="AJ21" s="69">
        <f>AG21+AH21-AI21</f>
        <v>56389.99999999994</v>
      </c>
      <c r="AK21" s="70">
        <v>2</v>
      </c>
      <c r="AL21" s="71" t="s">
        <v>151</v>
      </c>
      <c r="AM21" s="69">
        <f>+'[1]งบทดลอง-โปรแกรม61'!$D$190</f>
        <v>63674.92</v>
      </c>
      <c r="AN21" s="69">
        <f>59321.99+74364.6+65491.43+53285.94+70397.38+57381.03+66677.82</f>
        <v>446920.19</v>
      </c>
      <c r="AO21" s="69">
        <f>0+93458.42+104342.46+65052.06+124674.35+58667.86</f>
        <v>446195.15</v>
      </c>
      <c r="AP21" s="69">
        <f>AM21+AN21-AO21</f>
        <v>64399.95999999996</v>
      </c>
      <c r="AQ21" s="70">
        <v>2</v>
      </c>
      <c r="AR21" s="71" t="s">
        <v>151</v>
      </c>
      <c r="AS21" s="69">
        <f>+'[1]งบทดลอง-โปรแกรม61'!$D$190</f>
        <v>63674.92</v>
      </c>
      <c r="AT21" s="69">
        <f>59321.99+74364.6+65491.43+53285.94+70397.38+57381.03+66677.82+103884.25</f>
        <v>550804.44</v>
      </c>
      <c r="AU21" s="69">
        <f>0+93458.42+104342.46+65052.06+124674.35+58667.86+75774.23</f>
        <v>521969.38</v>
      </c>
      <c r="AV21" s="69">
        <f>AS21+AT21-AU21</f>
        <v>92509.97999999998</v>
      </c>
      <c r="AW21" s="70">
        <v>2</v>
      </c>
      <c r="AX21" s="71" t="s">
        <v>151</v>
      </c>
      <c r="AY21" s="69">
        <f>+'[1]งบทดลอง-โปรแกรม61'!$D$190</f>
        <v>63674.92</v>
      </c>
      <c r="AZ21" s="69">
        <f>59321.99+74364.6+65491.43+53285.94+70397.38+57381.03+66677.82+103884.25+78157.46</f>
        <v>628961.8999999999</v>
      </c>
      <c r="BA21" s="69">
        <f>0+93458.42+104342.46+65052.06+124674.35+58667.86+75774.23+93733.72</f>
        <v>615703.1</v>
      </c>
      <c r="BB21" s="69">
        <f>AY21+AZ21-BA21</f>
        <v>76933.71999999997</v>
      </c>
      <c r="BC21" s="70">
        <v>2</v>
      </c>
      <c r="BD21" s="71" t="s">
        <v>151</v>
      </c>
      <c r="BE21" s="69">
        <f>+'[1]งบทดลอง-โปรแกรม61'!$D$190</f>
        <v>63674.92</v>
      </c>
      <c r="BF21" s="69">
        <f>59321.99+74364.6+65491.43+53285.94+70397.38+57381.03+66677.82+103884.25+78157.46</f>
        <v>628961.8999999999</v>
      </c>
      <c r="BG21" s="69">
        <f>0+93458.42+104342.46+65052.06+124674.35+58667.86+75774.23+93733.72</f>
        <v>615703.1</v>
      </c>
      <c r="BH21" s="69">
        <f>BE21+BF21-BG21</f>
        <v>76933.71999999997</v>
      </c>
      <c r="BI21" s="70">
        <v>2</v>
      </c>
      <c r="BJ21" s="71" t="s">
        <v>151</v>
      </c>
      <c r="BK21" s="69">
        <f>+'[1]งบทดลอง-โปรแกรม61'!$D$190</f>
        <v>63674.92</v>
      </c>
      <c r="BL21" s="69">
        <f>59321.99+74364.6+65491.43+53285.94+70397.38+57381.03+66677.82+103884.25+78157.46+69085.55</f>
        <v>698047.45</v>
      </c>
      <c r="BM21" s="69">
        <f>0+93458.42+104342.46+65052.06+124674.35+58667.86+75774.23+93733.72+79189.54</f>
        <v>694892.64</v>
      </c>
      <c r="BN21" s="69">
        <f>BK21+BL21-BM21</f>
        <v>66829.72999999998</v>
      </c>
      <c r="BO21" s="70">
        <v>2</v>
      </c>
      <c r="BP21" s="71" t="s">
        <v>151</v>
      </c>
      <c r="BQ21" s="69">
        <f>+'[1]งบทดลอง-โปรแกรม61'!$D$190</f>
        <v>63674.92</v>
      </c>
      <c r="BR21" s="69">
        <f>59321.99+74364.6+65491.43+53285.94+70397.38+57381.03+66677.82+103884.25+78157.46+69085.55+189630.28+94217.63</f>
        <v>981895.36</v>
      </c>
      <c r="BS21" s="69">
        <f>0+93458.42+104342.46+65052.06+124674.35+58667.86+75774.23+93733.72+79189.54+170878.37+88318.46</f>
        <v>954089.47</v>
      </c>
      <c r="BT21" s="69">
        <f>BQ21+BR21-BS21</f>
        <v>91480.81000000006</v>
      </c>
    </row>
    <row r="22" spans="1:72" ht="18.75">
      <c r="A22" s="54">
        <v>3</v>
      </c>
      <c r="B22" s="249" t="s">
        <v>55</v>
      </c>
      <c r="C22" s="57">
        <f>+'[1]งบทดลอง-โปรแกรม61'!$D$192</f>
        <v>659126.3</v>
      </c>
      <c r="D22" s="57" t="e">
        <f>+'[1]งบทดลอง-โปรแกรม61'!$F$192</f>
        <v>#REF!</v>
      </c>
      <c r="E22" s="57" t="e">
        <f>+'[1]งบทดลอง-โปรแกรม61'!$E$192</f>
        <v>#REF!</v>
      </c>
      <c r="F22" s="57" t="e">
        <f>C22+D22-E22</f>
        <v>#REF!</v>
      </c>
      <c r="G22" s="54">
        <v>3</v>
      </c>
      <c r="H22" s="249" t="s">
        <v>55</v>
      </c>
      <c r="I22" s="57">
        <f>+'[1]งบทดลอง-โปรแกรม61'!$D$192</f>
        <v>659126.3</v>
      </c>
      <c r="J22" s="57">
        <v>0</v>
      </c>
      <c r="K22" s="57">
        <f>0+16718</f>
        <v>16718</v>
      </c>
      <c r="L22" s="57">
        <f>I22+J22-K22</f>
        <v>642408.3</v>
      </c>
      <c r="M22" s="54">
        <v>3</v>
      </c>
      <c r="N22" s="249" t="s">
        <v>55</v>
      </c>
      <c r="O22" s="57">
        <f>+'[1]งบทดลอง-โปรแกรม61'!$D$192</f>
        <v>659126.3</v>
      </c>
      <c r="P22" s="57">
        <v>0</v>
      </c>
      <c r="Q22" s="57">
        <f>0+16718</f>
        <v>16718</v>
      </c>
      <c r="R22" s="57">
        <f>O22+P22-Q22</f>
        <v>642408.3</v>
      </c>
      <c r="S22" s="54">
        <v>3</v>
      </c>
      <c r="T22" s="249" t="s">
        <v>55</v>
      </c>
      <c r="U22" s="57">
        <f>+'[1]งบทดลอง-โปรแกรม61'!$D$192</f>
        <v>659126.3</v>
      </c>
      <c r="V22" s="57">
        <v>0</v>
      </c>
      <c r="W22" s="57">
        <f>0+16718</f>
        <v>16718</v>
      </c>
      <c r="X22" s="57">
        <f>U22+V22-W22</f>
        <v>642408.3</v>
      </c>
      <c r="Y22" s="54">
        <v>3</v>
      </c>
      <c r="Z22" s="249" t="s">
        <v>55</v>
      </c>
      <c r="AA22" s="57">
        <f>+'[1]งบทดลอง-โปรแกรม61'!$D$192</f>
        <v>659126.3</v>
      </c>
      <c r="AB22" s="57">
        <v>0</v>
      </c>
      <c r="AC22" s="57">
        <f>0+16718+600000</f>
        <v>616718</v>
      </c>
      <c r="AD22" s="57">
        <f>AA22+AB22-AC22</f>
        <v>42408.30000000005</v>
      </c>
      <c r="AE22" s="54">
        <v>3</v>
      </c>
      <c r="AF22" s="249" t="s">
        <v>55</v>
      </c>
      <c r="AG22" s="57">
        <f>+'[1]งบทดลอง-โปรแกรม61'!$D$192</f>
        <v>659126.3</v>
      </c>
      <c r="AH22" s="57">
        <v>2163381.55</v>
      </c>
      <c r="AI22" s="57">
        <f>0+16718+600000</f>
        <v>616718</v>
      </c>
      <c r="AJ22" s="57">
        <f>AG22+AH22-AI22</f>
        <v>2205789.8499999996</v>
      </c>
      <c r="AK22" s="54">
        <v>3</v>
      </c>
      <c r="AL22" s="249" t="s">
        <v>55</v>
      </c>
      <c r="AM22" s="57">
        <f>+'[1]งบทดลอง-โปรแกรม61'!$D$192</f>
        <v>659126.3</v>
      </c>
      <c r="AN22" s="57">
        <f>2163381.55+590386</f>
        <v>2753767.55</v>
      </c>
      <c r="AO22" s="57">
        <f>0+16718+600000+96408.3</f>
        <v>713126.3</v>
      </c>
      <c r="AP22" s="57">
        <f>AM22+AN22-AO22</f>
        <v>2699767.55</v>
      </c>
      <c r="AQ22" s="54">
        <v>3</v>
      </c>
      <c r="AR22" s="249" t="s">
        <v>55</v>
      </c>
      <c r="AS22" s="57">
        <f>+'[1]งบทดลอง-โปรแกรม61'!$D$192</f>
        <v>659126.3</v>
      </c>
      <c r="AT22" s="57">
        <f>2163381.55+590386</f>
        <v>2753767.55</v>
      </c>
      <c r="AU22" s="57">
        <f>0+16718+600000+96408.3+306000+590386</f>
        <v>1609512.3</v>
      </c>
      <c r="AV22" s="57">
        <f>AS22+AT22-AU22</f>
        <v>1803381.5499999996</v>
      </c>
      <c r="AW22" s="54">
        <v>3</v>
      </c>
      <c r="AX22" s="249" t="s">
        <v>55</v>
      </c>
      <c r="AY22" s="57">
        <f>+'[1]งบทดลอง-โปรแกรม61'!$D$192</f>
        <v>659126.3</v>
      </c>
      <c r="AZ22" s="57">
        <f>2163381.55+590386</f>
        <v>2753767.55</v>
      </c>
      <c r="BA22" s="57">
        <f>0+16718+600000+96408.3+306000+590386</f>
        <v>1609512.3</v>
      </c>
      <c r="BB22" s="57">
        <f>AY22+AZ22-BA22</f>
        <v>1803381.5499999996</v>
      </c>
      <c r="BC22" s="54">
        <v>3</v>
      </c>
      <c r="BD22" s="249" t="s">
        <v>55</v>
      </c>
      <c r="BE22" s="57">
        <f>+'[1]งบทดลอง-โปรแกรม61'!$D$192</f>
        <v>659126.3</v>
      </c>
      <c r="BF22" s="57">
        <f>2163381.55+590386</f>
        <v>2753767.55</v>
      </c>
      <c r="BG22" s="57">
        <f>0+16718+600000+96408.3+306000+590386</f>
        <v>1609512.3</v>
      </c>
      <c r="BH22" s="57">
        <f>BE22+BF22-BG22</f>
        <v>1803381.5499999996</v>
      </c>
      <c r="BI22" s="54">
        <v>3</v>
      </c>
      <c r="BJ22" s="249" t="s">
        <v>55</v>
      </c>
      <c r="BK22" s="57">
        <f>+'[1]งบทดลอง-โปรแกรม61'!$D$192</f>
        <v>659126.3</v>
      </c>
      <c r="BL22" s="57">
        <f>2163381.55+590386</f>
        <v>2753767.55</v>
      </c>
      <c r="BM22" s="57">
        <f>0+16718+600000+96408.3+306000+590386</f>
        <v>1609512.3</v>
      </c>
      <c r="BN22" s="57">
        <f>BK22+BL22-BM22</f>
        <v>1803381.5499999996</v>
      </c>
      <c r="BO22" s="54">
        <v>3</v>
      </c>
      <c r="BP22" s="249" t="s">
        <v>55</v>
      </c>
      <c r="BQ22" s="57">
        <f>+'[1]งบทดลอง-โปรแกรม61'!$D$192</f>
        <v>659126.3</v>
      </c>
      <c r="BR22" s="57">
        <f>2163381.55+590386</f>
        <v>2753767.55</v>
      </c>
      <c r="BS22" s="57">
        <f>0+16718+600000+96408.3+306000+590386+588595.3</f>
        <v>2198107.6</v>
      </c>
      <c r="BT22" s="57">
        <f>BQ22+BR22-BS22</f>
        <v>1214786.2499999995</v>
      </c>
    </row>
    <row r="23" spans="1:72" ht="18.75">
      <c r="A23" s="60"/>
      <c r="B23" s="282"/>
      <c r="C23" s="72"/>
      <c r="D23" s="72"/>
      <c r="E23" s="72"/>
      <c r="F23" s="72"/>
      <c r="G23" s="60"/>
      <c r="H23" s="282"/>
      <c r="I23" s="72"/>
      <c r="J23" s="72"/>
      <c r="K23" s="72"/>
      <c r="L23" s="72"/>
      <c r="M23" s="60"/>
      <c r="N23" s="282"/>
      <c r="O23" s="72"/>
      <c r="P23" s="72"/>
      <c r="Q23" s="72"/>
      <c r="R23" s="72"/>
      <c r="S23" s="60"/>
      <c r="T23" s="282"/>
      <c r="U23" s="72"/>
      <c r="V23" s="72"/>
      <c r="W23" s="72"/>
      <c r="X23" s="72"/>
      <c r="Y23" s="60"/>
      <c r="Z23" s="282"/>
      <c r="AA23" s="72"/>
      <c r="AB23" s="72"/>
      <c r="AC23" s="72"/>
      <c r="AD23" s="72"/>
      <c r="AE23" s="60"/>
      <c r="AF23" s="282"/>
      <c r="AG23" s="72"/>
      <c r="AH23" s="72"/>
      <c r="AI23" s="72"/>
      <c r="AJ23" s="72"/>
      <c r="AK23" s="60"/>
      <c r="AL23" s="282"/>
      <c r="AM23" s="72"/>
      <c r="AN23" s="72"/>
      <c r="AO23" s="72"/>
      <c r="AP23" s="72"/>
      <c r="AQ23" s="60">
        <v>4</v>
      </c>
      <c r="AR23" s="282" t="s">
        <v>197</v>
      </c>
      <c r="AS23" s="57">
        <f>+'[2]งบทดลอง-โปรแกรม62'!$BH$194</f>
        <v>0</v>
      </c>
      <c r="AT23" s="72">
        <f>+'[2]งบทดลอง-โปรแกรม62'!$BJ$194</f>
        <v>300000</v>
      </c>
      <c r="AU23" s="72">
        <f>+'[2]งบทดลอง-โปรแกรม62'!$BI$194</f>
        <v>162000</v>
      </c>
      <c r="AV23" s="72">
        <f>+AS23+AT23-AU23</f>
        <v>138000</v>
      </c>
      <c r="AW23" s="60">
        <v>4</v>
      </c>
      <c r="AX23" s="282" t="s">
        <v>197</v>
      </c>
      <c r="AY23" s="57">
        <f>+'[2]งบทดลอง-โปรแกรม62'!$BH$194</f>
        <v>0</v>
      </c>
      <c r="AZ23" s="72">
        <f>+'[2]งบทดลอง-โปรแกรม62'!$BJ$194</f>
        <v>300000</v>
      </c>
      <c r="BA23" s="72">
        <f>+'[2]งบทดลอง-โปรแกรม62'!$BI$194</f>
        <v>162000</v>
      </c>
      <c r="BB23" s="72">
        <f>+AY23+AZ23-BA23</f>
        <v>138000</v>
      </c>
      <c r="BC23" s="60">
        <v>4</v>
      </c>
      <c r="BD23" s="282" t="s">
        <v>197</v>
      </c>
      <c r="BE23" s="57">
        <f>+'[2]งบทดลอง-โปรแกรม62'!$BH$194</f>
        <v>0</v>
      </c>
      <c r="BF23" s="72">
        <f>+'[2]งบทดลอง-โปรแกรม62'!$BJ$194</f>
        <v>300000</v>
      </c>
      <c r="BG23" s="72">
        <f>+'[2]งบทดลอง-โปรแกรม62'!$BI$194</f>
        <v>162000</v>
      </c>
      <c r="BH23" s="72">
        <f>+BE23+BF23-BG23</f>
        <v>138000</v>
      </c>
      <c r="BI23" s="60">
        <v>4</v>
      </c>
      <c r="BJ23" s="282" t="s">
        <v>197</v>
      </c>
      <c r="BK23" s="57">
        <f>+'[2]งบทดลอง-โปรแกรม62'!$BH$194</f>
        <v>0</v>
      </c>
      <c r="BL23" s="72">
        <f>+'[2]งบทดลอง-โปรแกรม62'!$BJ$194</f>
        <v>300000</v>
      </c>
      <c r="BM23" s="72">
        <f>+'[2]งบทดลอง-โปรแกรม62'!$BI$194</f>
        <v>162000</v>
      </c>
      <c r="BN23" s="72">
        <f>+BK23+BL23-BM23</f>
        <v>138000</v>
      </c>
      <c r="BO23" s="60">
        <v>4</v>
      </c>
      <c r="BP23" s="282" t="s">
        <v>197</v>
      </c>
      <c r="BQ23" s="57">
        <f>+'[2]งบทดลอง-โปรแกรม62'!$BH$194</f>
        <v>0</v>
      </c>
      <c r="BR23" s="72">
        <f>+'[2]งบทดลอง-โปรแกรม62'!$BJ$194</f>
        <v>300000</v>
      </c>
      <c r="BS23" s="72">
        <f>+'[2]งบทดลอง-โปรแกรม62'!$BI$194+46750</f>
        <v>208750</v>
      </c>
      <c r="BT23" s="72">
        <f>+BQ23+BR23-BS23</f>
        <v>91250</v>
      </c>
    </row>
    <row r="24" spans="1:72" ht="18.75">
      <c r="A24" s="64"/>
      <c r="B24" s="65" t="s">
        <v>7</v>
      </c>
      <c r="C24" s="66">
        <f>SUM(C20:C22)</f>
        <v>1843101.22</v>
      </c>
      <c r="D24" s="66" t="e">
        <f>SUM(D20:D22)</f>
        <v>#REF!</v>
      </c>
      <c r="E24" s="66" t="e">
        <f>SUM(E20:E22)</f>
        <v>#REF!</v>
      </c>
      <c r="F24" s="66" t="e">
        <f>SUM(F20:F22)</f>
        <v>#REF!</v>
      </c>
      <c r="G24" s="64"/>
      <c r="H24" s="65" t="s">
        <v>7</v>
      </c>
      <c r="I24" s="66">
        <f>SUM(I20:I22)</f>
        <v>1843101.22</v>
      </c>
      <c r="J24" s="66">
        <f>SUM(J20:J22)</f>
        <v>914186.59</v>
      </c>
      <c r="K24" s="66">
        <f>SUM(K20:K22)</f>
        <v>725976.42</v>
      </c>
      <c r="L24" s="66">
        <f>SUM(L20:L22)</f>
        <v>2031311.3900000001</v>
      </c>
      <c r="M24" s="64"/>
      <c r="N24" s="65" t="s">
        <v>7</v>
      </c>
      <c r="O24" s="66">
        <f>SUM(O20:O22)</f>
        <v>1843101.22</v>
      </c>
      <c r="P24" s="66">
        <f>SUM(P20:P22)</f>
        <v>1286978.02</v>
      </c>
      <c r="Q24" s="66">
        <f>SUM(Q20:Q22)</f>
        <v>1185118.88</v>
      </c>
      <c r="R24" s="66">
        <f>SUM(R20:R22)</f>
        <v>1944960.36</v>
      </c>
      <c r="S24" s="64"/>
      <c r="T24" s="65" t="s">
        <v>7</v>
      </c>
      <c r="U24" s="66">
        <f>SUM(U20:U22)</f>
        <v>1843101.22</v>
      </c>
      <c r="V24" s="66">
        <f>SUM(V20:V22)</f>
        <v>1616963.96</v>
      </c>
      <c r="W24" s="66">
        <f>SUM(W20:W22)</f>
        <v>1594970.94</v>
      </c>
      <c r="X24" s="66">
        <f>SUM(X20:X22)</f>
        <v>1865094.24</v>
      </c>
      <c r="Y24" s="64"/>
      <c r="Z24" s="65" t="s">
        <v>7</v>
      </c>
      <c r="AA24" s="66">
        <f>SUM(AA20:AA22)</f>
        <v>1843101.22</v>
      </c>
      <c r="AB24" s="66">
        <f>SUM(AB20:AB22)</f>
        <v>1915661.3399999999</v>
      </c>
      <c r="AC24" s="66">
        <f>SUM(AC20:AC22)</f>
        <v>2486670.94</v>
      </c>
      <c r="AD24" s="66">
        <f>SUM(AD20:AD22)</f>
        <v>1272091.6199999999</v>
      </c>
      <c r="AE24" s="64"/>
      <c r="AF24" s="65" t="s">
        <v>7</v>
      </c>
      <c r="AG24" s="66">
        <f>SUM(AG20:AG22)</f>
        <v>1843101.22</v>
      </c>
      <c r="AH24" s="66">
        <f>SUM(AH20:AH22)</f>
        <v>4455223.92</v>
      </c>
      <c r="AI24" s="66">
        <f>SUM(AI20:AI22)</f>
        <v>2916245.29</v>
      </c>
      <c r="AJ24" s="66">
        <f>SUM(AJ20:AJ22)</f>
        <v>3382079.8499999996</v>
      </c>
      <c r="AK24" s="64"/>
      <c r="AL24" s="65" t="s">
        <v>7</v>
      </c>
      <c r="AM24" s="66">
        <f>SUM(AM20:AM22)</f>
        <v>1843101.22</v>
      </c>
      <c r="AN24" s="66">
        <f>SUM(AN20:AN22)</f>
        <v>5474987.74</v>
      </c>
      <c r="AO24" s="66">
        <f>SUM(AO20:AO22)</f>
        <v>3452821.45</v>
      </c>
      <c r="AP24" s="66">
        <f>SUM(AP20:AP22)</f>
        <v>3865267.51</v>
      </c>
      <c r="AQ24" s="64"/>
      <c r="AR24" s="65" t="s">
        <v>7</v>
      </c>
      <c r="AS24" s="66">
        <f>SUM(AS20:AS23)</f>
        <v>1843101.22</v>
      </c>
      <c r="AT24" s="66">
        <f>SUM(AT20:AT23)</f>
        <v>6203971.99</v>
      </c>
      <c r="AU24" s="66">
        <f>SUM(AU20:AU23)</f>
        <v>4921281.68</v>
      </c>
      <c r="AV24" s="66">
        <f>SUM(AV20:AV23)</f>
        <v>3125791.5299999993</v>
      </c>
      <c r="AW24" s="64"/>
      <c r="AX24" s="65" t="s">
        <v>7</v>
      </c>
      <c r="AY24" s="66">
        <f>SUM(AY20:AY23)</f>
        <v>1843101.22</v>
      </c>
      <c r="AZ24" s="66">
        <f>SUM(AZ20:AZ23)</f>
        <v>6520029.449999999</v>
      </c>
      <c r="BA24" s="66">
        <f>SUM(BA20:BA23)</f>
        <v>5358515.4</v>
      </c>
      <c r="BB24" s="66">
        <f>SUM(BB20:BB23)</f>
        <v>3004615.2699999996</v>
      </c>
      <c r="BC24" s="64"/>
      <c r="BD24" s="65" t="s">
        <v>7</v>
      </c>
      <c r="BE24" s="66">
        <f>SUM(BE20:BE23)</f>
        <v>1843101.22</v>
      </c>
      <c r="BF24" s="66">
        <f>SUM(BF20:BF23)</f>
        <v>6520029.449999999</v>
      </c>
      <c r="BG24" s="66">
        <f>SUM(BG20:BG23)</f>
        <v>5358515.4</v>
      </c>
      <c r="BH24" s="66">
        <f>SUM(BH20:BH23)</f>
        <v>3004615.2699999996</v>
      </c>
      <c r="BI24" s="64"/>
      <c r="BJ24" s="65" t="s">
        <v>7</v>
      </c>
      <c r="BK24" s="66">
        <f>SUM(BK20:BK23)</f>
        <v>1843101.22</v>
      </c>
      <c r="BL24" s="66">
        <f>SUM(BL20:BL23)</f>
        <v>6984715</v>
      </c>
      <c r="BM24" s="66">
        <f>SUM(BM20:BM23)</f>
        <v>5769304.94</v>
      </c>
      <c r="BN24" s="66">
        <f>SUM(BN20:BN23)</f>
        <v>3058511.2799999993</v>
      </c>
      <c r="BO24" s="64"/>
      <c r="BP24" s="65" t="s">
        <v>7</v>
      </c>
      <c r="BQ24" s="66">
        <f>SUM(BQ20:BQ23)</f>
        <v>1843101.22</v>
      </c>
      <c r="BR24" s="66">
        <f>SUM(BR20:BR23)</f>
        <v>8199752.91</v>
      </c>
      <c r="BS24" s="66">
        <f>SUM(BS20:BS23)</f>
        <v>7406047.07</v>
      </c>
      <c r="BT24" s="66">
        <f>SUM(BT20:BT23)</f>
        <v>2636807.0599999996</v>
      </c>
    </row>
    <row r="26" spans="4:72" ht="18.75">
      <c r="D26" s="217" t="s">
        <v>80</v>
      </c>
      <c r="E26" s="219" t="s">
        <v>123</v>
      </c>
      <c r="F26" s="217" t="s">
        <v>7</v>
      </c>
      <c r="J26" s="217" t="s">
        <v>80</v>
      </c>
      <c r="K26" s="219" t="s">
        <v>123</v>
      </c>
      <c r="L26" s="217" t="s">
        <v>7</v>
      </c>
      <c r="P26" s="217" t="s">
        <v>80</v>
      </c>
      <c r="Q26" s="219" t="s">
        <v>123</v>
      </c>
      <c r="R26" s="217" t="s">
        <v>7</v>
      </c>
      <c r="V26" s="217" t="s">
        <v>80</v>
      </c>
      <c r="W26" s="219" t="s">
        <v>123</v>
      </c>
      <c r="X26" s="217" t="s">
        <v>7</v>
      </c>
      <c r="AB26" s="217" t="s">
        <v>80</v>
      </c>
      <c r="AC26" s="219" t="s">
        <v>123</v>
      </c>
      <c r="AD26" s="217" t="s">
        <v>7</v>
      </c>
      <c r="AH26" s="217" t="s">
        <v>80</v>
      </c>
      <c r="AI26" s="219" t="s">
        <v>123</v>
      </c>
      <c r="AJ26" s="217" t="s">
        <v>7</v>
      </c>
      <c r="AN26" s="217" t="s">
        <v>80</v>
      </c>
      <c r="AO26" s="219" t="s">
        <v>123</v>
      </c>
      <c r="AP26" s="217" t="s">
        <v>7</v>
      </c>
      <c r="AT26" s="217" t="s">
        <v>80</v>
      </c>
      <c r="AU26" s="219" t="s">
        <v>123</v>
      </c>
      <c r="AV26" s="217" t="s">
        <v>7</v>
      </c>
      <c r="AZ26" s="217" t="s">
        <v>80</v>
      </c>
      <c r="BA26" s="219" t="s">
        <v>123</v>
      </c>
      <c r="BB26" s="217" t="s">
        <v>7</v>
      </c>
      <c r="BF26" s="217" t="s">
        <v>80</v>
      </c>
      <c r="BG26" s="219" t="s">
        <v>123</v>
      </c>
      <c r="BH26" s="217" t="s">
        <v>7</v>
      </c>
      <c r="BL26" s="217" t="s">
        <v>80</v>
      </c>
      <c r="BM26" s="219" t="s">
        <v>123</v>
      </c>
      <c r="BN26" s="217" t="s">
        <v>7</v>
      </c>
      <c r="BR26" s="217" t="s">
        <v>80</v>
      </c>
      <c r="BS26" s="219" t="s">
        <v>123</v>
      </c>
      <c r="BT26" s="217" t="s">
        <v>7</v>
      </c>
    </row>
    <row r="27" spans="2:72" ht="18.75">
      <c r="B27" s="45" t="s">
        <v>117</v>
      </c>
      <c r="C27" s="53"/>
      <c r="D27" s="218">
        <v>81635514.47</v>
      </c>
      <c r="E27" s="68">
        <v>1246506.25</v>
      </c>
      <c r="F27" s="53">
        <f>+D27+E27</f>
        <v>82882020.72</v>
      </c>
      <c r="H27" s="45" t="s">
        <v>117</v>
      </c>
      <c r="I27" s="53"/>
      <c r="J27" s="218">
        <v>87821656.14</v>
      </c>
      <c r="K27" s="68">
        <v>435357.11</v>
      </c>
      <c r="L27" s="53">
        <f>+J27+K27</f>
        <v>88257013.25</v>
      </c>
      <c r="N27" s="45" t="s">
        <v>117</v>
      </c>
      <c r="O27" s="53"/>
      <c r="P27" s="218">
        <v>88860888.53</v>
      </c>
      <c r="Q27" s="68">
        <v>744653.98</v>
      </c>
      <c r="R27" s="53">
        <f>+P27+Q27</f>
        <v>89605542.51</v>
      </c>
      <c r="T27" s="45" t="s">
        <v>117</v>
      </c>
      <c r="U27" s="53"/>
      <c r="V27" s="218">
        <v>88257450.96</v>
      </c>
      <c r="W27" s="68">
        <v>908316.32</v>
      </c>
      <c r="X27" s="53">
        <f>+V27+W27</f>
        <v>89165767.27999999</v>
      </c>
      <c r="Z27" s="45" t="s">
        <v>117</v>
      </c>
      <c r="AA27" s="53"/>
      <c r="AB27" s="218">
        <v>82098491.99</v>
      </c>
      <c r="AC27" s="68">
        <v>1541587.14</v>
      </c>
      <c r="AD27" s="53">
        <f>+AB27+AC27</f>
        <v>83640079.13</v>
      </c>
      <c r="AF27" s="45" t="s">
        <v>117</v>
      </c>
      <c r="AG27" s="53"/>
      <c r="AH27" s="218">
        <v>81986378.02</v>
      </c>
      <c r="AI27" s="68">
        <v>1548661.92</v>
      </c>
      <c r="AJ27" s="53">
        <f>+AH27+AI27</f>
        <v>83535039.94</v>
      </c>
      <c r="AL27" s="45" t="s">
        <v>117</v>
      </c>
      <c r="AM27" s="53"/>
      <c r="AN27" s="218">
        <v>82513698.49</v>
      </c>
      <c r="AO27" s="68">
        <v>3063422.92</v>
      </c>
      <c r="AP27" s="53">
        <f>+AN27+AO27</f>
        <v>85577121.41</v>
      </c>
      <c r="AR27" s="45" t="s">
        <v>117</v>
      </c>
      <c r="AS27" s="53"/>
      <c r="AT27" s="218">
        <v>82068903.81</v>
      </c>
      <c r="AU27" s="218">
        <v>2528780.42</v>
      </c>
      <c r="AV27" s="281">
        <f>+AT27+AU27</f>
        <v>84597684.23</v>
      </c>
      <c r="AX27" s="45" t="s">
        <v>117</v>
      </c>
      <c r="AY27" s="53"/>
      <c r="AZ27" s="218">
        <v>76762425.87</v>
      </c>
      <c r="BA27" s="218">
        <v>2896372.42</v>
      </c>
      <c r="BB27" s="281">
        <f>+AZ27+BA27</f>
        <v>79658798.29</v>
      </c>
      <c r="BD27" s="45" t="s">
        <v>117</v>
      </c>
      <c r="BE27" s="53"/>
      <c r="BF27" s="218">
        <v>76762425.87</v>
      </c>
      <c r="BG27" s="218">
        <v>2896372.42</v>
      </c>
      <c r="BH27" s="281">
        <f>+BF27+BG27</f>
        <v>79658798.29</v>
      </c>
      <c r="BJ27" s="45" t="s">
        <v>117</v>
      </c>
      <c r="BK27" s="53"/>
      <c r="BL27" s="218">
        <v>81644346</v>
      </c>
      <c r="BM27" s="218">
        <v>3228782.92</v>
      </c>
      <c r="BN27" s="281">
        <f>+BL27+BM27</f>
        <v>84873128.92</v>
      </c>
      <c r="BP27" s="45" t="s">
        <v>117</v>
      </c>
      <c r="BQ27" s="53"/>
      <c r="BR27" s="218">
        <v>69766276.35</v>
      </c>
      <c r="BS27" s="218">
        <v>3567123.42</v>
      </c>
      <c r="BT27" s="281">
        <f>+BR27+BS27</f>
        <v>73333399.77</v>
      </c>
    </row>
    <row r="28" spans="2:71" ht="18.75">
      <c r="B28" s="45" t="s">
        <v>110</v>
      </c>
      <c r="D28" s="218"/>
      <c r="E28" s="68"/>
      <c r="H28" s="45" t="s">
        <v>110</v>
      </c>
      <c r="J28" s="218"/>
      <c r="K28" s="68"/>
      <c r="N28" s="45" t="s">
        <v>110</v>
      </c>
      <c r="P28" s="218"/>
      <c r="Q28" s="68"/>
      <c r="T28" s="45" t="s">
        <v>110</v>
      </c>
      <c r="V28" s="218"/>
      <c r="W28" s="68"/>
      <c r="Z28" s="45" t="s">
        <v>110</v>
      </c>
      <c r="AB28" s="218"/>
      <c r="AC28" s="68"/>
      <c r="AF28" s="45" t="s">
        <v>110</v>
      </c>
      <c r="AH28" s="218"/>
      <c r="AI28" s="68"/>
      <c r="AL28" s="45" t="s">
        <v>110</v>
      </c>
      <c r="AN28" s="218"/>
      <c r="AO28" s="68"/>
      <c r="AR28" s="45" t="s">
        <v>110</v>
      </c>
      <c r="AT28" s="218"/>
      <c r="AU28" s="68"/>
      <c r="AX28" s="45" t="s">
        <v>110</v>
      </c>
      <c r="AZ28" s="218"/>
      <c r="BA28" s="68"/>
      <c r="BD28" s="45" t="s">
        <v>110</v>
      </c>
      <c r="BF28" s="218"/>
      <c r="BG28" s="68"/>
      <c r="BJ28" s="45" t="s">
        <v>110</v>
      </c>
      <c r="BL28" s="218"/>
      <c r="BM28" s="68"/>
      <c r="BP28" s="45" t="s">
        <v>110</v>
      </c>
      <c r="BR28" s="218"/>
      <c r="BS28" s="68"/>
    </row>
    <row r="29" spans="2:72" ht="18.75">
      <c r="B29" s="45" t="s">
        <v>112</v>
      </c>
      <c r="D29" s="218">
        <v>525981.78</v>
      </c>
      <c r="E29" s="68">
        <v>0</v>
      </c>
      <c r="F29" s="53">
        <f>+D29+E29</f>
        <v>525981.78</v>
      </c>
      <c r="H29" s="45" t="s">
        <v>112</v>
      </c>
      <c r="J29" s="218">
        <v>1075878</v>
      </c>
      <c r="K29" s="68">
        <v>0</v>
      </c>
      <c r="L29" s="53">
        <f>+J29+K29</f>
        <v>1075878</v>
      </c>
      <c r="N29" s="45" t="s">
        <v>112</v>
      </c>
      <c r="P29" s="218">
        <v>1171262</v>
      </c>
      <c r="Q29" s="68">
        <v>0</v>
      </c>
      <c r="R29" s="53">
        <f>+P29+Q29</f>
        <v>1171262</v>
      </c>
      <c r="T29" s="45" t="s">
        <v>112</v>
      </c>
      <c r="V29" s="218">
        <v>1161762</v>
      </c>
      <c r="W29" s="68">
        <v>0</v>
      </c>
      <c r="X29" s="53">
        <f>+V29+W29</f>
        <v>1161762</v>
      </c>
      <c r="Z29" s="45" t="s">
        <v>112</v>
      </c>
      <c r="AB29" s="218">
        <v>1161762</v>
      </c>
      <c r="AC29" s="68">
        <v>0</v>
      </c>
      <c r="AD29" s="53">
        <f>+AB29+AC29</f>
        <v>1161762</v>
      </c>
      <c r="AF29" s="45" t="s">
        <v>112</v>
      </c>
      <c r="AH29" s="218">
        <v>1224962</v>
      </c>
      <c r="AI29" s="68">
        <v>0</v>
      </c>
      <c r="AJ29" s="53">
        <f>+AH29+AI29</f>
        <v>1224962</v>
      </c>
      <c r="AL29" s="45" t="s">
        <v>112</v>
      </c>
      <c r="AN29" s="218">
        <v>1248662</v>
      </c>
      <c r="AO29" s="68">
        <v>0</v>
      </c>
      <c r="AP29" s="53">
        <f>+AN29+AO29</f>
        <v>1248662</v>
      </c>
      <c r="AR29" s="45" t="s">
        <v>112</v>
      </c>
      <c r="AT29" s="218">
        <v>1248662</v>
      </c>
      <c r="AU29" s="68">
        <v>0</v>
      </c>
      <c r="AV29" s="53">
        <f aca="true" t="shared" si="0" ref="AV29:AV34">+AT29+AU29</f>
        <v>1248662</v>
      </c>
      <c r="AX29" s="45" t="s">
        <v>112</v>
      </c>
      <c r="AZ29" s="218">
        <v>1226092</v>
      </c>
      <c r="BA29" s="68">
        <v>0</v>
      </c>
      <c r="BB29" s="53">
        <f aca="true" t="shared" si="1" ref="BB29:BB34">+AZ29+BA29</f>
        <v>1226092</v>
      </c>
      <c r="BD29" s="45" t="s">
        <v>112</v>
      </c>
      <c r="BF29" s="218">
        <v>1226092</v>
      </c>
      <c r="BG29" s="68">
        <v>0</v>
      </c>
      <c r="BH29" s="53">
        <f aca="true" t="shared" si="2" ref="BH29:BH34">+BF29+BG29</f>
        <v>1226092</v>
      </c>
      <c r="BJ29" s="45" t="s">
        <v>112</v>
      </c>
      <c r="BL29" s="218">
        <v>1226154</v>
      </c>
      <c r="BM29" s="68">
        <v>0</v>
      </c>
      <c r="BN29" s="53">
        <f aca="true" t="shared" si="3" ref="BN29:BN34">+BL29+BM29</f>
        <v>1226154</v>
      </c>
      <c r="BP29" s="45" t="s">
        <v>112</v>
      </c>
      <c r="BR29" s="218">
        <v>2161347</v>
      </c>
      <c r="BS29" s="68">
        <v>0</v>
      </c>
      <c r="BT29" s="53">
        <f aca="true" t="shared" si="4" ref="BT29:BT34">+BR29+BS29</f>
        <v>2161347</v>
      </c>
    </row>
    <row r="30" spans="2:72" ht="18.75">
      <c r="B30" s="45" t="s">
        <v>111</v>
      </c>
      <c r="D30" s="218">
        <f>+F20</f>
        <v>1186500</v>
      </c>
      <c r="E30" s="68">
        <v>0</v>
      </c>
      <c r="F30" s="53">
        <f>+D30+E30</f>
        <v>1186500</v>
      </c>
      <c r="H30" s="45" t="s">
        <v>111</v>
      </c>
      <c r="J30" s="218">
        <f>+L20</f>
        <v>1285000</v>
      </c>
      <c r="K30" s="68">
        <v>0</v>
      </c>
      <c r="L30" s="53">
        <f>+J30+K30</f>
        <v>1285000</v>
      </c>
      <c r="N30" s="45" t="s">
        <v>111</v>
      </c>
      <c r="P30" s="218">
        <v>1237500</v>
      </c>
      <c r="Q30" s="68">
        <v>0</v>
      </c>
      <c r="R30" s="53">
        <f>+P30+Q30</f>
        <v>1237500</v>
      </c>
      <c r="T30" s="45" t="s">
        <v>111</v>
      </c>
      <c r="V30" s="218">
        <v>1169400</v>
      </c>
      <c r="W30" s="68">
        <v>0</v>
      </c>
      <c r="X30" s="53">
        <f>+V30+W30</f>
        <v>1169400</v>
      </c>
      <c r="Z30" s="45" t="s">
        <v>111</v>
      </c>
      <c r="AB30" s="218">
        <v>1106000</v>
      </c>
      <c r="AC30" s="68">
        <v>0</v>
      </c>
      <c r="AD30" s="53">
        <f>+AB30+AC30</f>
        <v>1106000</v>
      </c>
      <c r="AF30" s="45" t="s">
        <v>111</v>
      </c>
      <c r="AH30" s="218">
        <v>1119900</v>
      </c>
      <c r="AI30" s="68">
        <v>0</v>
      </c>
      <c r="AJ30" s="53">
        <f>+AH30+AI30</f>
        <v>1119900</v>
      </c>
      <c r="AL30" s="45" t="s">
        <v>111</v>
      </c>
      <c r="AN30" s="218">
        <v>1101100</v>
      </c>
      <c r="AO30" s="68">
        <v>0</v>
      </c>
      <c r="AP30" s="53">
        <f>+AN30+AO30</f>
        <v>1101100</v>
      </c>
      <c r="AR30" s="45" t="s">
        <v>111</v>
      </c>
      <c r="AT30" s="218">
        <v>1091900</v>
      </c>
      <c r="AU30" s="68">
        <v>0</v>
      </c>
      <c r="AV30" s="53">
        <f t="shared" si="0"/>
        <v>1091900</v>
      </c>
      <c r="AX30" s="45" t="s">
        <v>111</v>
      </c>
      <c r="AZ30" s="218">
        <v>986300</v>
      </c>
      <c r="BA30" s="68">
        <v>0</v>
      </c>
      <c r="BB30" s="53">
        <f t="shared" si="1"/>
        <v>986300</v>
      </c>
      <c r="BD30" s="45" t="s">
        <v>111</v>
      </c>
      <c r="BF30" s="218">
        <v>986300</v>
      </c>
      <c r="BG30" s="68">
        <v>0</v>
      </c>
      <c r="BH30" s="53">
        <f t="shared" si="2"/>
        <v>986300</v>
      </c>
      <c r="BJ30" s="45" t="s">
        <v>111</v>
      </c>
      <c r="BL30" s="218">
        <v>1050300</v>
      </c>
      <c r="BM30" s="68">
        <v>0</v>
      </c>
      <c r="BN30" s="53">
        <f t="shared" si="3"/>
        <v>1050300</v>
      </c>
      <c r="BP30" s="45" t="s">
        <v>111</v>
      </c>
      <c r="BR30" s="218">
        <v>1239290</v>
      </c>
      <c r="BS30" s="68">
        <v>0</v>
      </c>
      <c r="BT30" s="53">
        <f t="shared" si="4"/>
        <v>1239290</v>
      </c>
    </row>
    <row r="31" spans="2:72" ht="18.75">
      <c r="B31" s="45" t="s">
        <v>121</v>
      </c>
      <c r="D31" s="218" t="e">
        <f>+F22</f>
        <v>#REF!</v>
      </c>
      <c r="E31" s="68">
        <v>0</v>
      </c>
      <c r="F31" s="53" t="e">
        <f>+D31+E31</f>
        <v>#REF!</v>
      </c>
      <c r="H31" s="45" t="s">
        <v>121</v>
      </c>
      <c r="J31" s="218">
        <f>+L22</f>
        <v>642408.3</v>
      </c>
      <c r="K31" s="68">
        <v>0</v>
      </c>
      <c r="L31" s="53">
        <f>+J31+K31</f>
        <v>642408.3</v>
      </c>
      <c r="N31" s="45" t="s">
        <v>121</v>
      </c>
      <c r="P31" s="218">
        <v>642408.3</v>
      </c>
      <c r="Q31" s="68">
        <v>0</v>
      </c>
      <c r="R31" s="53">
        <f>+P31+Q31</f>
        <v>642408.3</v>
      </c>
      <c r="T31" s="45" t="s">
        <v>121</v>
      </c>
      <c r="V31" s="218">
        <v>642408.3</v>
      </c>
      <c r="W31" s="68">
        <v>0</v>
      </c>
      <c r="X31" s="53">
        <f>+V31+W31</f>
        <v>642408.3</v>
      </c>
      <c r="Z31" s="45" t="s">
        <v>121</v>
      </c>
      <c r="AB31" s="218">
        <v>42408.3</v>
      </c>
      <c r="AC31" s="68">
        <v>0</v>
      </c>
      <c r="AD31" s="53">
        <f>+AB31+AC31</f>
        <v>42408.3</v>
      </c>
      <c r="AF31" s="45" t="s">
        <v>121</v>
      </c>
      <c r="AH31" s="218">
        <v>2205789.85</v>
      </c>
      <c r="AI31" s="68">
        <v>0</v>
      </c>
      <c r="AJ31" s="53">
        <f>+AH31+AI31</f>
        <v>2205789.85</v>
      </c>
      <c r="AL31" s="45" t="s">
        <v>121</v>
      </c>
      <c r="AN31" s="218">
        <v>2109381.55</v>
      </c>
      <c r="AO31" s="68">
        <v>590386</v>
      </c>
      <c r="AP31" s="53">
        <f>+AN31+AO31</f>
        <v>2699767.55</v>
      </c>
      <c r="AR31" s="45" t="s">
        <v>121</v>
      </c>
      <c r="AT31" s="218">
        <v>1803381.55</v>
      </c>
      <c r="AU31" s="68">
        <v>0</v>
      </c>
      <c r="AV31" s="53">
        <f t="shared" si="0"/>
        <v>1803381.55</v>
      </c>
      <c r="AX31" s="45" t="s">
        <v>121</v>
      </c>
      <c r="AZ31" s="218">
        <v>1803381.55</v>
      </c>
      <c r="BA31" s="68">
        <v>0</v>
      </c>
      <c r="BB31" s="53">
        <f t="shared" si="1"/>
        <v>1803381.55</v>
      </c>
      <c r="BD31" s="45" t="s">
        <v>121</v>
      </c>
      <c r="BF31" s="218">
        <v>1803381.55</v>
      </c>
      <c r="BG31" s="68">
        <v>0</v>
      </c>
      <c r="BH31" s="53">
        <f t="shared" si="2"/>
        <v>1803381.55</v>
      </c>
      <c r="BJ31" s="45" t="s">
        <v>121</v>
      </c>
      <c r="BL31" s="218">
        <v>1803381.55</v>
      </c>
      <c r="BM31" s="68">
        <v>0</v>
      </c>
      <c r="BN31" s="53">
        <f t="shared" si="3"/>
        <v>1803381.55</v>
      </c>
      <c r="BP31" s="45" t="s">
        <v>121</v>
      </c>
      <c r="BR31" s="218">
        <v>1214786.25</v>
      </c>
      <c r="BS31" s="68">
        <v>0</v>
      </c>
      <c r="BT31" s="53">
        <f t="shared" si="4"/>
        <v>1214786.25</v>
      </c>
    </row>
    <row r="32" spans="4:72" ht="18.75">
      <c r="D32" s="218"/>
      <c r="E32" s="68"/>
      <c r="F32" s="53"/>
      <c r="J32" s="218"/>
      <c r="K32" s="68"/>
      <c r="L32" s="53"/>
      <c r="P32" s="218"/>
      <c r="Q32" s="68"/>
      <c r="R32" s="53"/>
      <c r="V32" s="218"/>
      <c r="W32" s="68"/>
      <c r="X32" s="53"/>
      <c r="AB32" s="218"/>
      <c r="AC32" s="68"/>
      <c r="AD32" s="53"/>
      <c r="AH32" s="218"/>
      <c r="AI32" s="68"/>
      <c r="AJ32" s="53"/>
      <c r="AN32" s="218"/>
      <c r="AO32" s="68"/>
      <c r="AP32" s="53"/>
      <c r="AR32" s="45" t="s">
        <v>198</v>
      </c>
      <c r="AT32" s="218">
        <v>138000</v>
      </c>
      <c r="AU32" s="68">
        <v>0</v>
      </c>
      <c r="AV32" s="53">
        <f t="shared" si="0"/>
        <v>138000</v>
      </c>
      <c r="AX32" s="45" t="s">
        <v>198</v>
      </c>
      <c r="AZ32" s="218">
        <v>138000</v>
      </c>
      <c r="BA32" s="68">
        <v>0</v>
      </c>
      <c r="BB32" s="53">
        <f t="shared" si="1"/>
        <v>138000</v>
      </c>
      <c r="BD32" s="45" t="s">
        <v>198</v>
      </c>
      <c r="BF32" s="218">
        <v>138000</v>
      </c>
      <c r="BG32" s="68">
        <v>0</v>
      </c>
      <c r="BH32" s="53">
        <f t="shared" si="2"/>
        <v>138000</v>
      </c>
      <c r="BJ32" s="45" t="s">
        <v>198</v>
      </c>
      <c r="BL32" s="218">
        <v>138000</v>
      </c>
      <c r="BM32" s="68">
        <v>0</v>
      </c>
      <c r="BN32" s="53">
        <f t="shared" si="3"/>
        <v>138000</v>
      </c>
      <c r="BP32" s="45" t="s">
        <v>198</v>
      </c>
      <c r="BR32" s="218">
        <v>91250</v>
      </c>
      <c r="BS32" s="68">
        <v>0</v>
      </c>
      <c r="BT32" s="53">
        <f t="shared" si="4"/>
        <v>91250</v>
      </c>
    </row>
    <row r="33" spans="2:72" ht="18.75">
      <c r="B33" s="45" t="s">
        <v>152</v>
      </c>
      <c r="D33" s="218" t="e">
        <f>+F21</f>
        <v>#REF!</v>
      </c>
      <c r="E33" s="68">
        <v>0</v>
      </c>
      <c r="F33" s="53" t="e">
        <f>+D33+E33</f>
        <v>#REF!</v>
      </c>
      <c r="H33" s="45" t="s">
        <v>152</v>
      </c>
      <c r="J33" s="218">
        <f>+L21</f>
        <v>103903.09000000001</v>
      </c>
      <c r="K33" s="68">
        <v>0</v>
      </c>
      <c r="L33" s="53">
        <f>+J33+K33</f>
        <v>103903.09000000001</v>
      </c>
      <c r="N33" s="45" t="s">
        <v>152</v>
      </c>
      <c r="P33" s="218">
        <v>65052.06</v>
      </c>
      <c r="Q33" s="68">
        <v>0</v>
      </c>
      <c r="R33" s="53">
        <f>+P33+Q33</f>
        <v>65052.06</v>
      </c>
      <c r="T33" s="45" t="s">
        <v>152</v>
      </c>
      <c r="V33" s="218">
        <v>53285.94</v>
      </c>
      <c r="W33" s="68">
        <v>0</v>
      </c>
      <c r="X33" s="53">
        <f>+V33+W33</f>
        <v>53285.94</v>
      </c>
      <c r="Z33" s="45" t="s">
        <v>152</v>
      </c>
      <c r="AB33" s="218">
        <v>123683.32</v>
      </c>
      <c r="AC33" s="68">
        <v>0</v>
      </c>
      <c r="AD33" s="53">
        <f>+AB33+AC33</f>
        <v>123683.32</v>
      </c>
      <c r="AF33" s="45" t="s">
        <v>152</v>
      </c>
      <c r="AH33" s="218">
        <v>56390</v>
      </c>
      <c r="AI33" s="68">
        <v>0</v>
      </c>
      <c r="AJ33" s="53">
        <f>+AH33+AI33</f>
        <v>56390</v>
      </c>
      <c r="AL33" s="45" t="s">
        <v>152</v>
      </c>
      <c r="AN33" s="218">
        <v>64399.96</v>
      </c>
      <c r="AO33" s="68">
        <v>0</v>
      </c>
      <c r="AP33" s="53">
        <f>+AN33+AO33</f>
        <v>64399.96</v>
      </c>
      <c r="AR33" s="45" t="s">
        <v>152</v>
      </c>
      <c r="AT33" s="218">
        <v>92509.98</v>
      </c>
      <c r="AU33" s="68">
        <v>0</v>
      </c>
      <c r="AV33" s="53">
        <f t="shared" si="0"/>
        <v>92509.98</v>
      </c>
      <c r="AX33" s="45" t="s">
        <v>152</v>
      </c>
      <c r="AZ33" s="218">
        <v>76933.72</v>
      </c>
      <c r="BA33" s="68">
        <v>0</v>
      </c>
      <c r="BB33" s="53">
        <f t="shared" si="1"/>
        <v>76933.72</v>
      </c>
      <c r="BD33" s="45" t="s">
        <v>152</v>
      </c>
      <c r="BF33" s="218">
        <v>76933.72</v>
      </c>
      <c r="BG33" s="68">
        <v>0</v>
      </c>
      <c r="BH33" s="53">
        <f t="shared" si="2"/>
        <v>76933.72</v>
      </c>
      <c r="BJ33" s="45" t="s">
        <v>152</v>
      </c>
      <c r="BL33" s="218">
        <v>66829.73</v>
      </c>
      <c r="BM33" s="68">
        <v>0</v>
      </c>
      <c r="BN33" s="53">
        <f t="shared" si="3"/>
        <v>66829.73</v>
      </c>
      <c r="BP33" s="45" t="s">
        <v>152</v>
      </c>
      <c r="BR33" s="218">
        <v>91480.81</v>
      </c>
      <c r="BS33" s="68">
        <v>0</v>
      </c>
      <c r="BT33" s="53">
        <f t="shared" si="4"/>
        <v>91480.81</v>
      </c>
    </row>
    <row r="34" spans="2:72" ht="18.75">
      <c r="B34" s="45" t="s">
        <v>113</v>
      </c>
      <c r="D34" s="218">
        <v>0</v>
      </c>
      <c r="E34" s="68">
        <v>0</v>
      </c>
      <c r="F34" s="53">
        <f>+D34+E34</f>
        <v>0</v>
      </c>
      <c r="H34" s="45" t="s">
        <v>113</v>
      </c>
      <c r="J34" s="218">
        <v>0</v>
      </c>
      <c r="K34" s="68">
        <v>0</v>
      </c>
      <c r="L34" s="53">
        <f>+J34+K34</f>
        <v>0</v>
      </c>
      <c r="N34" s="45" t="s">
        <v>113</v>
      </c>
      <c r="P34" s="218">
        <v>379700</v>
      </c>
      <c r="Q34" s="68">
        <v>0</v>
      </c>
      <c r="R34" s="53">
        <f>+P34+Q34</f>
        <v>379700</v>
      </c>
      <c r="T34" s="45" t="s">
        <v>113</v>
      </c>
      <c r="V34" s="218">
        <v>118900</v>
      </c>
      <c r="W34" s="68">
        <v>0</v>
      </c>
      <c r="X34" s="53">
        <f>+V34+W34</f>
        <v>118900</v>
      </c>
      <c r="Z34" s="45" t="s">
        <v>113</v>
      </c>
      <c r="AB34" s="218">
        <v>206000</v>
      </c>
      <c r="AC34" s="68">
        <v>0</v>
      </c>
      <c r="AD34" s="53">
        <f>+AB34+AC34</f>
        <v>206000</v>
      </c>
      <c r="AF34" s="45" t="s">
        <v>113</v>
      </c>
      <c r="AH34" s="218">
        <v>136000</v>
      </c>
      <c r="AI34" s="68">
        <v>0</v>
      </c>
      <c r="AJ34" s="53">
        <f>+AH34+AI34</f>
        <v>136000</v>
      </c>
      <c r="AL34" s="45" t="s">
        <v>113</v>
      </c>
      <c r="AN34" s="218">
        <v>123400</v>
      </c>
      <c r="AO34" s="68">
        <v>0</v>
      </c>
      <c r="AP34" s="53">
        <f>+AN34+AO34</f>
        <v>123400</v>
      </c>
      <c r="AR34" s="45" t="s">
        <v>113</v>
      </c>
      <c r="AT34" s="218">
        <v>121000</v>
      </c>
      <c r="AU34" s="68">
        <v>0</v>
      </c>
      <c r="AV34" s="53">
        <f t="shared" si="0"/>
        <v>121000</v>
      </c>
      <c r="AX34" s="45" t="s">
        <v>113</v>
      </c>
      <c r="AZ34" s="218">
        <v>97950</v>
      </c>
      <c r="BA34" s="68">
        <v>0</v>
      </c>
      <c r="BB34" s="53">
        <f t="shared" si="1"/>
        <v>97950</v>
      </c>
      <c r="BD34" s="45" t="s">
        <v>113</v>
      </c>
      <c r="BF34" s="218">
        <v>97950</v>
      </c>
      <c r="BG34" s="68">
        <v>0</v>
      </c>
      <c r="BH34" s="53">
        <f t="shared" si="2"/>
        <v>97950</v>
      </c>
      <c r="BJ34" s="45" t="s">
        <v>113</v>
      </c>
      <c r="BL34" s="218">
        <v>265880</v>
      </c>
      <c r="BM34" s="68">
        <v>0</v>
      </c>
      <c r="BN34" s="53">
        <f t="shared" si="3"/>
        <v>265880</v>
      </c>
      <c r="BP34" s="45" t="s">
        <v>113</v>
      </c>
      <c r="BR34" s="218">
        <v>39800</v>
      </c>
      <c r="BS34" s="68">
        <v>0</v>
      </c>
      <c r="BT34" s="53">
        <f t="shared" si="4"/>
        <v>39800</v>
      </c>
    </row>
    <row r="35" spans="2:72" ht="18.75">
      <c r="B35" s="124" t="s">
        <v>87</v>
      </c>
      <c r="C35" s="124"/>
      <c r="D35" s="201" t="e">
        <f>+D27-D29-D30-D31-D33+D34</f>
        <v>#REF!</v>
      </c>
      <c r="E35" s="201">
        <f>+E27-E29-E30-E31-E33+E34</f>
        <v>1246506.25</v>
      </c>
      <c r="F35" s="201" t="e">
        <f>+F27-F29-F30-F31-F33+F34</f>
        <v>#REF!</v>
      </c>
      <c r="H35" s="124" t="s">
        <v>87</v>
      </c>
      <c r="I35" s="124"/>
      <c r="J35" s="201">
        <f>+J27-J29-J30-J31-J33+J34</f>
        <v>84714466.75</v>
      </c>
      <c r="K35" s="201">
        <f>+K27-K29-K30-K31-K33+K34</f>
        <v>435357.11</v>
      </c>
      <c r="L35" s="201">
        <f>+L27-L29-L30-L31-L33+L34</f>
        <v>85149823.86</v>
      </c>
      <c r="N35" s="124" t="s">
        <v>87</v>
      </c>
      <c r="O35" s="124"/>
      <c r="P35" s="201">
        <f>+P27-P29-P30-P31-P33+P34</f>
        <v>86124366.17</v>
      </c>
      <c r="Q35" s="201">
        <f>+Q27-Q29-Q30-Q31-Q33+Q34</f>
        <v>744653.98</v>
      </c>
      <c r="R35" s="201">
        <f>+R27-R29-R30-R31-R33+R34</f>
        <v>86869020.15</v>
      </c>
      <c r="T35" s="124" t="s">
        <v>87</v>
      </c>
      <c r="U35" s="124"/>
      <c r="V35" s="201">
        <f>+V27-V29-V30-V31-V33+V34</f>
        <v>85349494.72</v>
      </c>
      <c r="W35" s="201">
        <f>+W27-W29-W30-W31-W33+W34</f>
        <v>908316.32</v>
      </c>
      <c r="X35" s="201">
        <f>+X27-X29-X30-X31-X33+X34</f>
        <v>86257811.03999999</v>
      </c>
      <c r="Z35" s="124" t="s">
        <v>87</v>
      </c>
      <c r="AA35" s="124"/>
      <c r="AB35" s="201">
        <f>+AB27-AB29-AB30-AB31-AB33+AB34</f>
        <v>79870638.37</v>
      </c>
      <c r="AC35" s="201">
        <f>+AC27-AC29-AC30-AC31-AC33+AC34</f>
        <v>1541587.14</v>
      </c>
      <c r="AD35" s="201">
        <f>+AD27-AD29-AD30-AD31-AD33+AD34</f>
        <v>81412225.51</v>
      </c>
      <c r="AF35" s="124" t="s">
        <v>87</v>
      </c>
      <c r="AG35" s="124"/>
      <c r="AH35" s="201">
        <f>+AH27-AH29-AH30-AH31-AH33+AH34</f>
        <v>77515336.17</v>
      </c>
      <c r="AI35" s="201">
        <f>+AI27-AI29-AI30-AI31-AI33+AI34</f>
        <v>1548661.92</v>
      </c>
      <c r="AJ35" s="201">
        <f>+AJ27-AJ29-AJ30-AJ31-AJ33+AJ34</f>
        <v>79063998.09</v>
      </c>
      <c r="AL35" s="124" t="s">
        <v>87</v>
      </c>
      <c r="AM35" s="124"/>
      <c r="AN35" s="201">
        <f>+AN27-AN29-AN30-AN31-AN33+AN34</f>
        <v>78113554.98</v>
      </c>
      <c r="AO35" s="201">
        <f>+AO27-AO29-AO30-AO31-AO33+AO34</f>
        <v>2473036.92</v>
      </c>
      <c r="AP35" s="201">
        <f>+AP27-AP29-AP30-AP31-AP33+AP34</f>
        <v>80586591.9</v>
      </c>
      <c r="AR35" s="124" t="s">
        <v>87</v>
      </c>
      <c r="AS35" s="124"/>
      <c r="AT35" s="201">
        <f>+AT27-AT29-AT30-AT31-AT33+AT34-AT32</f>
        <v>77815450.28</v>
      </c>
      <c r="AU35" s="201">
        <f>+AU27-AU29-AU30-AU31-AU33+AU34</f>
        <v>2528780.42</v>
      </c>
      <c r="AV35" s="201">
        <f>+AV27-AV29-AV30-AV31-AV33+AV34-AV32</f>
        <v>80344230.7</v>
      </c>
      <c r="AX35" s="124" t="s">
        <v>87</v>
      </c>
      <c r="AY35" s="124"/>
      <c r="AZ35" s="201">
        <f>+AZ27-AZ29-AZ30-AZ31-AZ33+AZ34-AZ32</f>
        <v>72629668.60000001</v>
      </c>
      <c r="BA35" s="201">
        <f>+BA27-BA29-BA30-BA31-BA33+BA34</f>
        <v>2896372.42</v>
      </c>
      <c r="BB35" s="201">
        <f>+BB27-BB29-BB30-BB31-BB33+BB34-BB32</f>
        <v>75526041.02000001</v>
      </c>
      <c r="BD35" s="124" t="s">
        <v>87</v>
      </c>
      <c r="BE35" s="124"/>
      <c r="BF35" s="201">
        <f>+BF27-BF29-BF30-BF31-BF33+BF34-BF32</f>
        <v>72629668.60000001</v>
      </c>
      <c r="BG35" s="201">
        <f>+BG27-BG29-BG30-BG31-BG33+BG34</f>
        <v>2896372.42</v>
      </c>
      <c r="BH35" s="201">
        <f>+BH27-BH29-BH30-BH31-BH33+BH34-BH32</f>
        <v>75526041.02000001</v>
      </c>
      <c r="BJ35" s="124" t="s">
        <v>87</v>
      </c>
      <c r="BK35" s="124"/>
      <c r="BL35" s="201">
        <f>+BL27-BL29-BL30-BL31-BL33+BL34-BL32</f>
        <v>77625560.72</v>
      </c>
      <c r="BM35" s="201">
        <f>+BM27-BM29-BM30-BM31-BM33+BM34</f>
        <v>3228782.92</v>
      </c>
      <c r="BN35" s="201">
        <f>+BN27-BN29-BN30-BN31-BN33+BN34-BN32</f>
        <v>80854343.64</v>
      </c>
      <c r="BP35" s="124" t="s">
        <v>87</v>
      </c>
      <c r="BQ35" s="124"/>
      <c r="BR35" s="201">
        <f>+BR27-BR29-BR30-BR31-BR33+BR34-BR32</f>
        <v>65007922.28999999</v>
      </c>
      <c r="BS35" s="201">
        <f>+BS27-BS29-BS30-BS31-BS33+BS34</f>
        <v>3567123.42</v>
      </c>
      <c r="BT35" s="201">
        <f>+BT27-BT29-BT30-BT31-BT33+BT34-BT32</f>
        <v>68575045.71</v>
      </c>
    </row>
    <row r="36" spans="2:72" ht="18.75">
      <c r="B36" s="45" t="s">
        <v>119</v>
      </c>
      <c r="D36" s="218">
        <v>2916471.05</v>
      </c>
      <c r="E36" s="68">
        <v>896854.68</v>
      </c>
      <c r="F36" s="73">
        <f>+D36+E36</f>
        <v>3813325.73</v>
      </c>
      <c r="H36" s="45" t="s">
        <v>119</v>
      </c>
      <c r="J36" s="218">
        <v>9558452.66</v>
      </c>
      <c r="K36" s="68">
        <v>34261.4</v>
      </c>
      <c r="L36" s="73">
        <f>+J36+K36</f>
        <v>9592714.06</v>
      </c>
      <c r="N36" s="45" t="s">
        <v>119</v>
      </c>
      <c r="P36" s="218">
        <v>19012347.43</v>
      </c>
      <c r="Q36" s="68">
        <v>34261.4</v>
      </c>
      <c r="R36" s="73">
        <f>+P36+Q36</f>
        <v>19046608.83</v>
      </c>
      <c r="T36" s="45" t="s">
        <v>119</v>
      </c>
      <c r="V36" s="218">
        <v>18681377.27</v>
      </c>
      <c r="W36" s="68">
        <v>0</v>
      </c>
      <c r="X36" s="73">
        <f>+V36+W36</f>
        <v>18681377.27</v>
      </c>
      <c r="Z36" s="45" t="s">
        <v>119</v>
      </c>
      <c r="AB36" s="218">
        <v>17404607.2</v>
      </c>
      <c r="AC36" s="68">
        <v>0</v>
      </c>
      <c r="AD36" s="73">
        <f>+AB36+AC36</f>
        <v>17404607.2</v>
      </c>
      <c r="AF36" s="45" t="s">
        <v>119</v>
      </c>
      <c r="AH36" s="218">
        <v>16088116.95</v>
      </c>
      <c r="AI36" s="68">
        <v>0</v>
      </c>
      <c r="AJ36" s="73">
        <f>+AH36+AI36</f>
        <v>16088116.95</v>
      </c>
      <c r="AL36" s="45" t="s">
        <v>119</v>
      </c>
      <c r="AN36" s="218">
        <v>28008916.23</v>
      </c>
      <c r="AO36" s="68">
        <v>0</v>
      </c>
      <c r="AP36" s="73">
        <f>+AN36+AO36</f>
        <v>28008916.23</v>
      </c>
      <c r="AR36" s="45" t="s">
        <v>119</v>
      </c>
      <c r="AT36" s="218">
        <v>27976702.6</v>
      </c>
      <c r="AU36" s="68">
        <v>0</v>
      </c>
      <c r="AV36" s="73">
        <f>+AT36+AU36</f>
        <v>27976702.6</v>
      </c>
      <c r="AX36" s="45" t="s">
        <v>119</v>
      </c>
      <c r="AZ36" s="218">
        <v>25478814.09</v>
      </c>
      <c r="BA36" s="68">
        <v>0</v>
      </c>
      <c r="BB36" s="73">
        <f>+AZ36+BA36</f>
        <v>25478814.09</v>
      </c>
      <c r="BD36" s="45" t="s">
        <v>119</v>
      </c>
      <c r="BF36" s="218">
        <v>25478814.09</v>
      </c>
      <c r="BG36" s="68">
        <v>0</v>
      </c>
      <c r="BH36" s="73">
        <f>+BF36+BG36</f>
        <v>25478814.09</v>
      </c>
      <c r="BJ36" s="45" t="s">
        <v>119</v>
      </c>
      <c r="BL36" s="218">
        <v>27916831.36</v>
      </c>
      <c r="BM36" s="68">
        <v>0</v>
      </c>
      <c r="BN36" s="73">
        <f>+BL36+BM36</f>
        <v>27916831.36</v>
      </c>
      <c r="BP36" s="45" t="s">
        <v>119</v>
      </c>
      <c r="BR36" s="218">
        <v>21596955.69</v>
      </c>
      <c r="BS36" s="68">
        <v>0</v>
      </c>
      <c r="BT36" s="73">
        <f>+BR36+BS36</f>
        <v>21596955.69</v>
      </c>
    </row>
    <row r="37" spans="2:72" ht="19.5" thickBot="1">
      <c r="B37" s="124" t="s">
        <v>154</v>
      </c>
      <c r="D37" s="125" t="e">
        <f>+D35-D36</f>
        <v>#REF!</v>
      </c>
      <c r="E37" s="125">
        <f>+E35-E36</f>
        <v>349651.56999999995</v>
      </c>
      <c r="F37" s="125" t="e">
        <f>+F35-F36</f>
        <v>#REF!</v>
      </c>
      <c r="H37" s="124" t="s">
        <v>158</v>
      </c>
      <c r="J37" s="125">
        <f>+J35-J36</f>
        <v>75156014.09</v>
      </c>
      <c r="K37" s="125">
        <f>+K35-K36</f>
        <v>401095.70999999996</v>
      </c>
      <c r="L37" s="125">
        <f>+L35-L36</f>
        <v>75557109.8</v>
      </c>
      <c r="N37" s="124" t="s">
        <v>158</v>
      </c>
      <c r="P37" s="125">
        <f>+P35-P36</f>
        <v>67112018.74000001</v>
      </c>
      <c r="Q37" s="125">
        <f>+Q35-Q36</f>
        <v>710392.58</v>
      </c>
      <c r="R37" s="125">
        <f>+R35-R36</f>
        <v>67822411.32000001</v>
      </c>
      <c r="T37" s="124" t="s">
        <v>158</v>
      </c>
      <c r="V37" s="125">
        <f>+V35-V36</f>
        <v>66668117.45</v>
      </c>
      <c r="W37" s="125">
        <f>+W35-W36</f>
        <v>908316.32</v>
      </c>
      <c r="X37" s="125">
        <f>+X35-X36</f>
        <v>67576433.77</v>
      </c>
      <c r="Z37" s="124" t="s">
        <v>174</v>
      </c>
      <c r="AB37" s="125">
        <f>+AB35-AB36</f>
        <v>62466031.17</v>
      </c>
      <c r="AC37" s="125">
        <f>+AC35-AC36</f>
        <v>1541587.14</v>
      </c>
      <c r="AD37" s="125">
        <f>+AD35-AD36</f>
        <v>64007618.31</v>
      </c>
      <c r="AF37" s="124" t="s">
        <v>180</v>
      </c>
      <c r="AH37" s="125">
        <f>+AH35-AH36</f>
        <v>61427219.22</v>
      </c>
      <c r="AI37" s="125">
        <f>+AI35-AI36</f>
        <v>1548661.92</v>
      </c>
      <c r="AJ37" s="125">
        <f>+AJ35-AJ36</f>
        <v>62975881.14</v>
      </c>
      <c r="AL37" s="124" t="s">
        <v>188</v>
      </c>
      <c r="AN37" s="125">
        <f>+AN35-AN36</f>
        <v>50104638.75</v>
      </c>
      <c r="AO37" s="125">
        <f>+AO35-AO36</f>
        <v>2473036.92</v>
      </c>
      <c r="AP37" s="125">
        <f>+AP35-AP36</f>
        <v>52577675.67</v>
      </c>
      <c r="AR37" s="124" t="s">
        <v>195</v>
      </c>
      <c r="AT37" s="125">
        <f>+AT35-AT36</f>
        <v>49838747.68</v>
      </c>
      <c r="AU37" s="125">
        <f>+AU35-AU36</f>
        <v>2528780.42</v>
      </c>
      <c r="AV37" s="125">
        <f>+AV35-AV36</f>
        <v>52367528.1</v>
      </c>
      <c r="AX37" s="124" t="s">
        <v>202</v>
      </c>
      <c r="AZ37" s="125">
        <f>+AZ35-AZ36</f>
        <v>47150854.510000005</v>
      </c>
      <c r="BA37" s="125">
        <f>+BA35-BA36</f>
        <v>2896372.42</v>
      </c>
      <c r="BB37" s="125">
        <f>+BB35-BB36</f>
        <v>50047226.93000001</v>
      </c>
      <c r="BD37" s="124" t="s">
        <v>202</v>
      </c>
      <c r="BF37" s="125">
        <f>+BF35-BF36</f>
        <v>47150854.510000005</v>
      </c>
      <c r="BG37" s="125">
        <f>+BG35-BG36</f>
        <v>2896372.42</v>
      </c>
      <c r="BH37" s="125">
        <f>+BH35-BH36</f>
        <v>50047226.93000001</v>
      </c>
      <c r="BJ37" s="124" t="s">
        <v>206</v>
      </c>
      <c r="BL37" s="125">
        <f>+BL35-BL36</f>
        <v>49708729.36</v>
      </c>
      <c r="BM37" s="125">
        <f>+BM35-BM36</f>
        <v>3228782.92</v>
      </c>
      <c r="BN37" s="125">
        <f>+BN35-BN36</f>
        <v>52937512.28</v>
      </c>
      <c r="BP37" s="124" t="s">
        <v>210</v>
      </c>
      <c r="BR37" s="125">
        <f>+BR35-BR36</f>
        <v>43410966.599999994</v>
      </c>
      <c r="BS37" s="125">
        <f>+BS35-BS36</f>
        <v>3567123.42</v>
      </c>
      <c r="BT37" s="125">
        <f>+BT35-BT36</f>
        <v>46978090.019999996</v>
      </c>
    </row>
    <row r="38" ht="19.5" thickTop="1"/>
    <row r="40" spans="46:72" ht="18.75">
      <c r="AT40" s="53"/>
      <c r="AV40" s="53"/>
      <c r="AZ40" s="53"/>
      <c r="BB40" s="53"/>
      <c r="BF40" s="53"/>
      <c r="BH40" s="53"/>
      <c r="BL40" s="53"/>
      <c r="BN40" s="53"/>
      <c r="BR40" s="53"/>
      <c r="BT40" s="53"/>
    </row>
  </sheetData>
  <sheetProtection/>
  <mergeCells count="72">
    <mergeCell ref="BI1:BN1"/>
    <mergeCell ref="BI3:BI4"/>
    <mergeCell ref="BJ3:BJ4"/>
    <mergeCell ref="BI16:BN16"/>
    <mergeCell ref="BI18:BI19"/>
    <mergeCell ref="BJ18:BJ19"/>
    <mergeCell ref="AW1:BB1"/>
    <mergeCell ref="AW3:AW4"/>
    <mergeCell ref="AX3:AX4"/>
    <mergeCell ref="AW16:BB16"/>
    <mergeCell ref="AW18:AW19"/>
    <mergeCell ref="AX18:AX19"/>
    <mergeCell ref="AQ1:AV1"/>
    <mergeCell ref="AQ3:AQ4"/>
    <mergeCell ref="AR3:AR4"/>
    <mergeCell ref="AQ16:AV16"/>
    <mergeCell ref="AQ18:AQ19"/>
    <mergeCell ref="AR18:AR19"/>
    <mergeCell ref="Y1:AD1"/>
    <mergeCell ref="Y3:Y4"/>
    <mergeCell ref="Z3:Z4"/>
    <mergeCell ref="Y16:AD16"/>
    <mergeCell ref="Y18:Y19"/>
    <mergeCell ref="Z18:Z19"/>
    <mergeCell ref="S1:X1"/>
    <mergeCell ref="S3:S4"/>
    <mergeCell ref="T3:T4"/>
    <mergeCell ref="S16:X16"/>
    <mergeCell ref="S18:S19"/>
    <mergeCell ref="T18:T19"/>
    <mergeCell ref="G1:L1"/>
    <mergeCell ref="G3:G4"/>
    <mergeCell ref="H3:H4"/>
    <mergeCell ref="G16:L16"/>
    <mergeCell ref="G18:G19"/>
    <mergeCell ref="H18:H19"/>
    <mergeCell ref="A1:F1"/>
    <mergeCell ref="A3:A4"/>
    <mergeCell ref="B3:B4"/>
    <mergeCell ref="A16:F16"/>
    <mergeCell ref="A18:A19"/>
    <mergeCell ref="B18:B19"/>
    <mergeCell ref="M1:R1"/>
    <mergeCell ref="M3:M4"/>
    <mergeCell ref="N3:N4"/>
    <mergeCell ref="M16:R16"/>
    <mergeCell ref="M18:M19"/>
    <mergeCell ref="N18:N19"/>
    <mergeCell ref="AE1:AJ1"/>
    <mergeCell ref="AE3:AE4"/>
    <mergeCell ref="AF3:AF4"/>
    <mergeCell ref="AE16:AJ16"/>
    <mergeCell ref="AE18:AE19"/>
    <mergeCell ref="AF18:AF19"/>
    <mergeCell ref="AK1:AP1"/>
    <mergeCell ref="AK3:AK4"/>
    <mergeCell ref="AL3:AL4"/>
    <mergeCell ref="AK16:AP16"/>
    <mergeCell ref="AK18:AK19"/>
    <mergeCell ref="AL18:AL19"/>
    <mergeCell ref="BC1:BH1"/>
    <mergeCell ref="BC3:BC4"/>
    <mergeCell ref="BD3:BD4"/>
    <mergeCell ref="BC16:BH16"/>
    <mergeCell ref="BC18:BC19"/>
    <mergeCell ref="BD18:BD19"/>
    <mergeCell ref="BO1:BT1"/>
    <mergeCell ref="BO3:BO4"/>
    <mergeCell ref="BP3:BP4"/>
    <mergeCell ref="BO16:BT16"/>
    <mergeCell ref="BO18:BO19"/>
    <mergeCell ref="BP18:BP19"/>
  </mergeCells>
  <printOptions/>
  <pageMargins left="0.2362204724409449" right="0.15748031496062992" top="0.4330708661417323" bottom="0.984251968503937" header="0.2362204724409449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BC1">
      <selection activeCell="BF35" sqref="BF35"/>
    </sheetView>
  </sheetViews>
  <sheetFormatPr defaultColWidth="9.140625" defaultRowHeight="21.75"/>
  <cols>
    <col min="1" max="1" width="5.57421875" style="154" hidden="1" customWidth="1"/>
    <col min="2" max="2" width="15.57421875" style="1" hidden="1" customWidth="1"/>
    <col min="3" max="3" width="41.7109375" style="1" hidden="1" customWidth="1"/>
    <col min="4" max="4" width="14.57421875" style="2" hidden="1" customWidth="1"/>
    <col min="5" max="5" width="16.7109375" style="2" hidden="1" customWidth="1"/>
    <col min="6" max="6" width="14.57421875" style="2" hidden="1" customWidth="1"/>
    <col min="7" max="7" width="5.57421875" style="154" hidden="1" customWidth="1"/>
    <col min="8" max="8" width="15.57421875" style="1" hidden="1" customWidth="1"/>
    <col min="9" max="9" width="41.7109375" style="1" hidden="1" customWidth="1"/>
    <col min="10" max="10" width="14.57421875" style="2" hidden="1" customWidth="1"/>
    <col min="11" max="11" width="16.7109375" style="2" hidden="1" customWidth="1"/>
    <col min="12" max="12" width="15.7109375" style="2" hidden="1" customWidth="1"/>
    <col min="13" max="13" width="5.57421875" style="154" hidden="1" customWidth="1"/>
    <col min="14" max="14" width="15.57421875" style="1" hidden="1" customWidth="1"/>
    <col min="15" max="15" width="41.7109375" style="1" hidden="1" customWidth="1"/>
    <col min="16" max="18" width="16.7109375" style="2" hidden="1" customWidth="1"/>
    <col min="19" max="19" width="5.57421875" style="154" hidden="1" customWidth="1"/>
    <col min="20" max="20" width="15.57421875" style="1" hidden="1" customWidth="1"/>
    <col min="21" max="21" width="41.7109375" style="1" hidden="1" customWidth="1"/>
    <col min="22" max="24" width="16.7109375" style="2" hidden="1" customWidth="1"/>
    <col min="25" max="25" width="5.57421875" style="154" hidden="1" customWidth="1"/>
    <col min="26" max="26" width="15.57421875" style="1" hidden="1" customWidth="1"/>
    <col min="27" max="27" width="41.7109375" style="1" hidden="1" customWidth="1"/>
    <col min="28" max="30" width="16.7109375" style="2" hidden="1" customWidth="1"/>
    <col min="31" max="31" width="5.57421875" style="154" hidden="1" customWidth="1"/>
    <col min="32" max="32" width="15.57421875" style="1" hidden="1" customWidth="1"/>
    <col min="33" max="33" width="41.7109375" style="1" hidden="1" customWidth="1"/>
    <col min="34" max="36" width="16.7109375" style="2" hidden="1" customWidth="1"/>
    <col min="37" max="37" width="5.57421875" style="154" hidden="1" customWidth="1"/>
    <col min="38" max="38" width="15.57421875" style="1" hidden="1" customWidth="1"/>
    <col min="39" max="39" width="41.7109375" style="1" hidden="1" customWidth="1"/>
    <col min="40" max="42" width="16.7109375" style="2" hidden="1" customWidth="1"/>
    <col min="43" max="43" width="5.57421875" style="154" hidden="1" customWidth="1"/>
    <col min="44" max="44" width="15.57421875" style="1" hidden="1" customWidth="1"/>
    <col min="45" max="45" width="41.7109375" style="1" hidden="1" customWidth="1"/>
    <col min="46" max="48" width="16.7109375" style="2" hidden="1" customWidth="1"/>
    <col min="49" max="49" width="5.57421875" style="154" hidden="1" customWidth="1"/>
    <col min="50" max="50" width="15.57421875" style="1" hidden="1" customWidth="1"/>
    <col min="51" max="51" width="41.7109375" style="1" hidden="1" customWidth="1"/>
    <col min="52" max="54" width="16.7109375" style="2" hidden="1" customWidth="1"/>
    <col min="55" max="55" width="5.57421875" style="154" customWidth="1"/>
    <col min="56" max="56" width="15.57421875" style="1" customWidth="1"/>
    <col min="57" max="57" width="41.7109375" style="1" customWidth="1"/>
    <col min="58" max="60" width="16.7109375" style="2" customWidth="1"/>
    <col min="61" max="16384" width="9.140625" style="1" customWidth="1"/>
  </cols>
  <sheetData>
    <row r="1" spans="1:60" ht="23.25">
      <c r="A1" s="333" t="s">
        <v>48</v>
      </c>
      <c r="B1" s="333"/>
      <c r="C1" s="333"/>
      <c r="D1" s="333"/>
      <c r="E1" s="333"/>
      <c r="F1" s="333"/>
      <c r="G1" s="333" t="s">
        <v>48</v>
      </c>
      <c r="H1" s="333"/>
      <c r="I1" s="333"/>
      <c r="J1" s="333"/>
      <c r="K1" s="333"/>
      <c r="L1" s="333"/>
      <c r="M1" s="333" t="s">
        <v>48</v>
      </c>
      <c r="N1" s="333"/>
      <c r="O1" s="333"/>
      <c r="P1" s="333"/>
      <c r="Q1" s="333"/>
      <c r="R1" s="333"/>
      <c r="S1" s="333" t="s">
        <v>48</v>
      </c>
      <c r="T1" s="333"/>
      <c r="U1" s="333"/>
      <c r="V1" s="333"/>
      <c r="W1" s="333"/>
      <c r="X1" s="333"/>
      <c r="Y1" s="333" t="s">
        <v>48</v>
      </c>
      <c r="Z1" s="333"/>
      <c r="AA1" s="333"/>
      <c r="AB1" s="333"/>
      <c r="AC1" s="333"/>
      <c r="AD1" s="333"/>
      <c r="AE1" s="333" t="s">
        <v>48</v>
      </c>
      <c r="AF1" s="333"/>
      <c r="AG1" s="333"/>
      <c r="AH1" s="333"/>
      <c r="AI1" s="333"/>
      <c r="AJ1" s="333"/>
      <c r="AK1" s="333" t="s">
        <v>48</v>
      </c>
      <c r="AL1" s="333"/>
      <c r="AM1" s="333"/>
      <c r="AN1" s="333"/>
      <c r="AO1" s="333"/>
      <c r="AP1" s="333"/>
      <c r="AQ1" s="333" t="s">
        <v>48</v>
      </c>
      <c r="AR1" s="333"/>
      <c r="AS1" s="333"/>
      <c r="AT1" s="333"/>
      <c r="AU1" s="333"/>
      <c r="AV1" s="333"/>
      <c r="AW1" s="333" t="s">
        <v>48</v>
      </c>
      <c r="AX1" s="333"/>
      <c r="AY1" s="333"/>
      <c r="AZ1" s="333"/>
      <c r="BA1" s="333"/>
      <c r="BB1" s="333"/>
      <c r="BC1" s="333" t="s">
        <v>48</v>
      </c>
      <c r="BD1" s="333"/>
      <c r="BE1" s="333"/>
      <c r="BF1" s="333"/>
      <c r="BG1" s="333"/>
      <c r="BH1" s="333"/>
    </row>
    <row r="2" spans="1:60" ht="23.25">
      <c r="A2" s="334" t="s">
        <v>153</v>
      </c>
      <c r="B2" s="334"/>
      <c r="C2" s="334"/>
      <c r="D2" s="334"/>
      <c r="E2" s="334"/>
      <c r="F2" s="334"/>
      <c r="G2" s="334" t="s">
        <v>160</v>
      </c>
      <c r="H2" s="334"/>
      <c r="I2" s="334"/>
      <c r="J2" s="334"/>
      <c r="K2" s="334"/>
      <c r="L2" s="334"/>
      <c r="M2" s="334" t="s">
        <v>165</v>
      </c>
      <c r="N2" s="334"/>
      <c r="O2" s="334"/>
      <c r="P2" s="334"/>
      <c r="Q2" s="334"/>
      <c r="R2" s="334"/>
      <c r="S2" s="334" t="s">
        <v>172</v>
      </c>
      <c r="T2" s="334"/>
      <c r="U2" s="334"/>
      <c r="V2" s="334"/>
      <c r="W2" s="334"/>
      <c r="X2" s="334"/>
      <c r="Y2" s="334" t="s">
        <v>175</v>
      </c>
      <c r="Z2" s="334"/>
      <c r="AA2" s="334"/>
      <c r="AB2" s="334"/>
      <c r="AC2" s="334"/>
      <c r="AD2" s="334"/>
      <c r="AE2" s="334" t="s">
        <v>181</v>
      </c>
      <c r="AF2" s="334"/>
      <c r="AG2" s="334"/>
      <c r="AH2" s="334"/>
      <c r="AI2" s="334"/>
      <c r="AJ2" s="334"/>
      <c r="AK2" s="334" t="s">
        <v>189</v>
      </c>
      <c r="AL2" s="334"/>
      <c r="AM2" s="334"/>
      <c r="AN2" s="334"/>
      <c r="AO2" s="334"/>
      <c r="AP2" s="334"/>
      <c r="AQ2" s="334" t="s">
        <v>192</v>
      </c>
      <c r="AR2" s="334"/>
      <c r="AS2" s="334"/>
      <c r="AT2" s="334"/>
      <c r="AU2" s="334"/>
      <c r="AV2" s="334"/>
      <c r="AW2" s="334" t="s">
        <v>207</v>
      </c>
      <c r="AX2" s="334"/>
      <c r="AY2" s="334"/>
      <c r="AZ2" s="334"/>
      <c r="BA2" s="334"/>
      <c r="BB2" s="334"/>
      <c r="BC2" s="334" t="s">
        <v>211</v>
      </c>
      <c r="BD2" s="334"/>
      <c r="BE2" s="334"/>
      <c r="BF2" s="334"/>
      <c r="BG2" s="334"/>
      <c r="BH2" s="334"/>
    </row>
    <row r="3" spans="1:60" ht="21.75" customHeight="1">
      <c r="A3" s="126" t="s">
        <v>30</v>
      </c>
      <c r="B3" s="335" t="s">
        <v>2</v>
      </c>
      <c r="C3" s="335"/>
      <c r="D3" s="5" t="s">
        <v>80</v>
      </c>
      <c r="E3" s="5" t="s">
        <v>78</v>
      </c>
      <c r="F3" s="5" t="s">
        <v>49</v>
      </c>
      <c r="G3" s="126" t="s">
        <v>30</v>
      </c>
      <c r="H3" s="335" t="s">
        <v>2</v>
      </c>
      <c r="I3" s="335"/>
      <c r="J3" s="5" t="s">
        <v>80</v>
      </c>
      <c r="K3" s="5" t="s">
        <v>78</v>
      </c>
      <c r="L3" s="5" t="s">
        <v>49</v>
      </c>
      <c r="M3" s="126" t="s">
        <v>30</v>
      </c>
      <c r="N3" s="335" t="s">
        <v>2</v>
      </c>
      <c r="O3" s="335"/>
      <c r="P3" s="5" t="s">
        <v>80</v>
      </c>
      <c r="Q3" s="5" t="s">
        <v>78</v>
      </c>
      <c r="R3" s="5" t="s">
        <v>49</v>
      </c>
      <c r="S3" s="126" t="s">
        <v>30</v>
      </c>
      <c r="T3" s="335" t="s">
        <v>2</v>
      </c>
      <c r="U3" s="335"/>
      <c r="V3" s="5" t="s">
        <v>80</v>
      </c>
      <c r="W3" s="5" t="s">
        <v>78</v>
      </c>
      <c r="X3" s="5" t="s">
        <v>49</v>
      </c>
      <c r="Y3" s="126" t="s">
        <v>30</v>
      </c>
      <c r="Z3" s="335" t="s">
        <v>2</v>
      </c>
      <c r="AA3" s="335"/>
      <c r="AB3" s="5" t="s">
        <v>80</v>
      </c>
      <c r="AC3" s="5" t="s">
        <v>78</v>
      </c>
      <c r="AD3" s="5" t="s">
        <v>49</v>
      </c>
      <c r="AE3" s="126" t="s">
        <v>30</v>
      </c>
      <c r="AF3" s="335" t="s">
        <v>2</v>
      </c>
      <c r="AG3" s="335"/>
      <c r="AH3" s="5" t="s">
        <v>80</v>
      </c>
      <c r="AI3" s="5" t="s">
        <v>78</v>
      </c>
      <c r="AJ3" s="5" t="s">
        <v>49</v>
      </c>
      <c r="AK3" s="126" t="s">
        <v>30</v>
      </c>
      <c r="AL3" s="335" t="s">
        <v>2</v>
      </c>
      <c r="AM3" s="335"/>
      <c r="AN3" s="5" t="s">
        <v>80</v>
      </c>
      <c r="AO3" s="5" t="s">
        <v>78</v>
      </c>
      <c r="AP3" s="5" t="s">
        <v>49</v>
      </c>
      <c r="AQ3" s="126" t="s">
        <v>30</v>
      </c>
      <c r="AR3" s="335" t="s">
        <v>2</v>
      </c>
      <c r="AS3" s="335"/>
      <c r="AT3" s="5" t="s">
        <v>80</v>
      </c>
      <c r="AU3" s="5" t="s">
        <v>78</v>
      </c>
      <c r="AV3" s="5" t="s">
        <v>49</v>
      </c>
      <c r="AW3" s="126" t="s">
        <v>30</v>
      </c>
      <c r="AX3" s="335" t="s">
        <v>2</v>
      </c>
      <c r="AY3" s="335"/>
      <c r="AZ3" s="5" t="s">
        <v>80</v>
      </c>
      <c r="BA3" s="5" t="s">
        <v>78</v>
      </c>
      <c r="BB3" s="5" t="s">
        <v>49</v>
      </c>
      <c r="BC3" s="126" t="s">
        <v>30</v>
      </c>
      <c r="BD3" s="335" t="s">
        <v>2</v>
      </c>
      <c r="BE3" s="335"/>
      <c r="BF3" s="5" t="s">
        <v>80</v>
      </c>
      <c r="BG3" s="5" t="s">
        <v>78</v>
      </c>
      <c r="BH3" s="5" t="s">
        <v>49</v>
      </c>
    </row>
    <row r="4" spans="1:60" ht="21">
      <c r="A4" s="127">
        <v>1</v>
      </c>
      <c r="B4" s="128" t="s">
        <v>3</v>
      </c>
      <c r="C4" s="129"/>
      <c r="D4" s="130"/>
      <c r="E4" s="130"/>
      <c r="F4" s="7"/>
      <c r="G4" s="127">
        <v>1</v>
      </c>
      <c r="H4" s="128" t="s">
        <v>3</v>
      </c>
      <c r="I4" s="129"/>
      <c r="J4" s="130"/>
      <c r="K4" s="130"/>
      <c r="L4" s="7"/>
      <c r="M4" s="127">
        <v>1</v>
      </c>
      <c r="N4" s="128" t="s">
        <v>3</v>
      </c>
      <c r="O4" s="129"/>
      <c r="P4" s="130"/>
      <c r="Q4" s="130"/>
      <c r="R4" s="7"/>
      <c r="S4" s="127">
        <v>1</v>
      </c>
      <c r="T4" s="128" t="s">
        <v>3</v>
      </c>
      <c r="U4" s="129"/>
      <c r="V4" s="130"/>
      <c r="W4" s="130"/>
      <c r="X4" s="7"/>
      <c r="Y4" s="127">
        <v>1</v>
      </c>
      <c r="Z4" s="128" t="s">
        <v>3</v>
      </c>
      <c r="AA4" s="129"/>
      <c r="AB4" s="130"/>
      <c r="AC4" s="130"/>
      <c r="AD4" s="7"/>
      <c r="AE4" s="127">
        <v>1</v>
      </c>
      <c r="AF4" s="128" t="s">
        <v>3</v>
      </c>
      <c r="AG4" s="129"/>
      <c r="AH4" s="130"/>
      <c r="AI4" s="130"/>
      <c r="AJ4" s="7"/>
      <c r="AK4" s="127">
        <v>1</v>
      </c>
      <c r="AL4" s="128" t="s">
        <v>3</v>
      </c>
      <c r="AM4" s="129"/>
      <c r="AN4" s="130"/>
      <c r="AO4" s="130"/>
      <c r="AP4" s="7"/>
      <c r="AQ4" s="127">
        <v>1</v>
      </c>
      <c r="AR4" s="128" t="s">
        <v>3</v>
      </c>
      <c r="AS4" s="129"/>
      <c r="AT4" s="130"/>
      <c r="AU4" s="130"/>
      <c r="AV4" s="7"/>
      <c r="AW4" s="127">
        <v>1</v>
      </c>
      <c r="AX4" s="128" t="s">
        <v>3</v>
      </c>
      <c r="AY4" s="129"/>
      <c r="AZ4" s="130"/>
      <c r="BA4" s="130"/>
      <c r="BB4" s="7"/>
      <c r="BC4" s="127">
        <v>1</v>
      </c>
      <c r="BD4" s="128" t="s">
        <v>3</v>
      </c>
      <c r="BE4" s="129"/>
      <c r="BF4" s="130"/>
      <c r="BG4" s="130"/>
      <c r="BH4" s="7"/>
    </row>
    <row r="5" spans="1:60" ht="21">
      <c r="A5" s="131"/>
      <c r="B5" s="132" t="s">
        <v>31</v>
      </c>
      <c r="C5" s="133" t="s">
        <v>54</v>
      </c>
      <c r="D5" s="134">
        <v>0</v>
      </c>
      <c r="E5" s="134">
        <v>0</v>
      </c>
      <c r="F5" s="8">
        <f>+D5+E5</f>
        <v>0</v>
      </c>
      <c r="G5" s="131"/>
      <c r="H5" s="132" t="s">
        <v>31</v>
      </c>
      <c r="I5" s="133" t="s">
        <v>54</v>
      </c>
      <c r="J5" s="134">
        <v>0</v>
      </c>
      <c r="K5" s="134">
        <v>0</v>
      </c>
      <c r="L5" s="8">
        <f>+J5+K5</f>
        <v>0</v>
      </c>
      <c r="M5" s="131"/>
      <c r="N5" s="132" t="s">
        <v>31</v>
      </c>
      <c r="O5" s="133" t="s">
        <v>54</v>
      </c>
      <c r="P5" s="134">
        <v>0</v>
      </c>
      <c r="Q5" s="134">
        <v>0</v>
      </c>
      <c r="R5" s="8">
        <f>+P5+Q5</f>
        <v>0</v>
      </c>
      <c r="S5" s="131"/>
      <c r="T5" s="132" t="s">
        <v>31</v>
      </c>
      <c r="U5" s="133" t="s">
        <v>54</v>
      </c>
      <c r="V5" s="134">
        <v>0</v>
      </c>
      <c r="W5" s="134">
        <v>0</v>
      </c>
      <c r="X5" s="8">
        <f>+V5+W5</f>
        <v>0</v>
      </c>
      <c r="Y5" s="131"/>
      <c r="Z5" s="132" t="s">
        <v>31</v>
      </c>
      <c r="AA5" s="133" t="s">
        <v>54</v>
      </c>
      <c r="AB5" s="134">
        <v>0</v>
      </c>
      <c r="AC5" s="134">
        <v>0</v>
      </c>
      <c r="AD5" s="8">
        <f>+AB5+AC5</f>
        <v>0</v>
      </c>
      <c r="AE5" s="131"/>
      <c r="AF5" s="132" t="s">
        <v>31</v>
      </c>
      <c r="AG5" s="133" t="s">
        <v>54</v>
      </c>
      <c r="AH5" s="134">
        <v>0</v>
      </c>
      <c r="AI5" s="134">
        <v>0</v>
      </c>
      <c r="AJ5" s="8">
        <f>+AH5+AI5</f>
        <v>0</v>
      </c>
      <c r="AK5" s="131"/>
      <c r="AL5" s="132" t="s">
        <v>31</v>
      </c>
      <c r="AM5" s="133" t="s">
        <v>54</v>
      </c>
      <c r="AN5" s="134">
        <v>0</v>
      </c>
      <c r="AO5" s="134">
        <v>0</v>
      </c>
      <c r="AP5" s="8">
        <f>+AN5+AO5</f>
        <v>0</v>
      </c>
      <c r="AQ5" s="131"/>
      <c r="AR5" s="132" t="s">
        <v>31</v>
      </c>
      <c r="AS5" s="133" t="s">
        <v>54</v>
      </c>
      <c r="AT5" s="134">
        <v>0</v>
      </c>
      <c r="AU5" s="134">
        <v>0</v>
      </c>
      <c r="AV5" s="8">
        <f>+AT5+AU5</f>
        <v>0</v>
      </c>
      <c r="AW5" s="131"/>
      <c r="AX5" s="132" t="s">
        <v>31</v>
      </c>
      <c r="AY5" s="133" t="s">
        <v>54</v>
      </c>
      <c r="AZ5" s="134">
        <v>0</v>
      </c>
      <c r="BA5" s="134">
        <v>0</v>
      </c>
      <c r="BB5" s="8">
        <f>+AZ5+BA5</f>
        <v>0</v>
      </c>
      <c r="BC5" s="131"/>
      <c r="BD5" s="132" t="s">
        <v>31</v>
      </c>
      <c r="BE5" s="133" t="s">
        <v>54</v>
      </c>
      <c r="BF5" s="134">
        <v>67750</v>
      </c>
      <c r="BG5" s="134">
        <v>0</v>
      </c>
      <c r="BH5" s="8">
        <f>+BF5+BG5</f>
        <v>67750</v>
      </c>
    </row>
    <row r="6" spans="1:60" ht="21">
      <c r="A6" s="131"/>
      <c r="B6" s="132" t="s">
        <v>31</v>
      </c>
      <c r="C6" s="133" t="s">
        <v>50</v>
      </c>
      <c r="D6" s="134">
        <v>0</v>
      </c>
      <c r="E6" s="134">
        <v>0</v>
      </c>
      <c r="F6" s="8">
        <f aca="true" t="shared" si="0" ref="F6:F15">+D6+E6</f>
        <v>0</v>
      </c>
      <c r="G6" s="131"/>
      <c r="H6" s="132" t="s">
        <v>31</v>
      </c>
      <c r="I6" s="133" t="s">
        <v>50</v>
      </c>
      <c r="J6" s="134">
        <v>0</v>
      </c>
      <c r="K6" s="134">
        <v>0</v>
      </c>
      <c r="L6" s="8">
        <f aca="true" t="shared" si="1" ref="L6:L15">+J6+K6</f>
        <v>0</v>
      </c>
      <c r="M6" s="131"/>
      <c r="N6" s="132" t="s">
        <v>31</v>
      </c>
      <c r="O6" s="133" t="s">
        <v>50</v>
      </c>
      <c r="P6" s="134">
        <v>0</v>
      </c>
      <c r="Q6" s="134">
        <v>0</v>
      </c>
      <c r="R6" s="8">
        <f aca="true" t="shared" si="2" ref="R6:R15">+P6+Q6</f>
        <v>0</v>
      </c>
      <c r="S6" s="131"/>
      <c r="T6" s="132" t="s">
        <v>31</v>
      </c>
      <c r="U6" s="133" t="s">
        <v>50</v>
      </c>
      <c r="V6" s="134">
        <v>0</v>
      </c>
      <c r="W6" s="134">
        <v>0</v>
      </c>
      <c r="X6" s="8">
        <f aca="true" t="shared" si="3" ref="X6:X15">+V6+W6</f>
        <v>0</v>
      </c>
      <c r="Y6" s="131"/>
      <c r="Z6" s="132" t="s">
        <v>31</v>
      </c>
      <c r="AA6" s="133" t="s">
        <v>50</v>
      </c>
      <c r="AB6" s="134">
        <v>0</v>
      </c>
      <c r="AC6" s="134">
        <v>0</v>
      </c>
      <c r="AD6" s="8">
        <f aca="true" t="shared" si="4" ref="AD6:AD15">+AB6+AC6</f>
        <v>0</v>
      </c>
      <c r="AE6" s="131"/>
      <c r="AF6" s="132" t="s">
        <v>31</v>
      </c>
      <c r="AG6" s="133" t="s">
        <v>50</v>
      </c>
      <c r="AH6" s="134">
        <v>0</v>
      </c>
      <c r="AI6" s="134">
        <v>0</v>
      </c>
      <c r="AJ6" s="8">
        <f aca="true" t="shared" si="5" ref="AJ6:AJ15">+AH6+AI6</f>
        <v>0</v>
      </c>
      <c r="AK6" s="131"/>
      <c r="AL6" s="132" t="s">
        <v>31</v>
      </c>
      <c r="AM6" s="133" t="s">
        <v>50</v>
      </c>
      <c r="AN6" s="134">
        <v>0</v>
      </c>
      <c r="AO6" s="134">
        <v>0</v>
      </c>
      <c r="AP6" s="8">
        <f aca="true" t="shared" si="6" ref="AP6:AP15">+AN6+AO6</f>
        <v>0</v>
      </c>
      <c r="AQ6" s="131"/>
      <c r="AR6" s="132" t="s">
        <v>31</v>
      </c>
      <c r="AS6" s="133" t="s">
        <v>50</v>
      </c>
      <c r="AT6" s="134">
        <v>0</v>
      </c>
      <c r="AU6" s="134">
        <v>0</v>
      </c>
      <c r="AV6" s="8">
        <f aca="true" t="shared" si="7" ref="AV6:AV15">+AT6+AU6</f>
        <v>0</v>
      </c>
      <c r="AW6" s="131"/>
      <c r="AX6" s="132" t="s">
        <v>31</v>
      </c>
      <c r="AY6" s="133" t="s">
        <v>50</v>
      </c>
      <c r="AZ6" s="134">
        <v>0</v>
      </c>
      <c r="BA6" s="134">
        <v>0</v>
      </c>
      <c r="BB6" s="8">
        <f aca="true" t="shared" si="8" ref="BB6:BB15">+AZ6+BA6</f>
        <v>0</v>
      </c>
      <c r="BC6" s="131"/>
      <c r="BD6" s="132" t="s">
        <v>31</v>
      </c>
      <c r="BE6" s="133" t="s">
        <v>50</v>
      </c>
      <c r="BF6" s="134">
        <v>272715</v>
      </c>
      <c r="BG6" s="134">
        <v>0</v>
      </c>
      <c r="BH6" s="8">
        <f aca="true" t="shared" si="9" ref="BH6:BH15">+BF6+BG6</f>
        <v>272715</v>
      </c>
    </row>
    <row r="7" spans="1:60" ht="21">
      <c r="A7" s="131"/>
      <c r="B7" s="132" t="s">
        <v>31</v>
      </c>
      <c r="C7" s="133" t="s">
        <v>51</v>
      </c>
      <c r="D7" s="134">
        <v>0</v>
      </c>
      <c r="E7" s="134">
        <v>0</v>
      </c>
      <c r="F7" s="8">
        <f t="shared" si="0"/>
        <v>0</v>
      </c>
      <c r="G7" s="131"/>
      <c r="H7" s="132" t="s">
        <v>31</v>
      </c>
      <c r="I7" s="133" t="s">
        <v>51</v>
      </c>
      <c r="J7" s="134">
        <v>0</v>
      </c>
      <c r="K7" s="134">
        <v>0</v>
      </c>
      <c r="L7" s="8">
        <f t="shared" si="1"/>
        <v>0</v>
      </c>
      <c r="M7" s="131"/>
      <c r="N7" s="132" t="s">
        <v>31</v>
      </c>
      <c r="O7" s="133" t="s">
        <v>51</v>
      </c>
      <c r="P7" s="134">
        <v>0</v>
      </c>
      <c r="Q7" s="134">
        <v>0</v>
      </c>
      <c r="R7" s="8">
        <f t="shared" si="2"/>
        <v>0</v>
      </c>
      <c r="S7" s="131"/>
      <c r="T7" s="132" t="s">
        <v>31</v>
      </c>
      <c r="U7" s="133" t="s">
        <v>51</v>
      </c>
      <c r="V7" s="134">
        <v>0</v>
      </c>
      <c r="W7" s="134">
        <v>0</v>
      </c>
      <c r="X7" s="8">
        <f t="shared" si="3"/>
        <v>0</v>
      </c>
      <c r="Y7" s="131"/>
      <c r="Z7" s="132" t="s">
        <v>31</v>
      </c>
      <c r="AA7" s="133" t="s">
        <v>51</v>
      </c>
      <c r="AB7" s="134">
        <v>0</v>
      </c>
      <c r="AC7" s="134">
        <v>0</v>
      </c>
      <c r="AD7" s="8">
        <f t="shared" si="4"/>
        <v>0</v>
      </c>
      <c r="AE7" s="131"/>
      <c r="AF7" s="132" t="s">
        <v>31</v>
      </c>
      <c r="AG7" s="133" t="s">
        <v>51</v>
      </c>
      <c r="AH7" s="134">
        <v>0</v>
      </c>
      <c r="AI7" s="134">
        <v>0</v>
      </c>
      <c r="AJ7" s="8">
        <f t="shared" si="5"/>
        <v>0</v>
      </c>
      <c r="AK7" s="131"/>
      <c r="AL7" s="132" t="s">
        <v>31</v>
      </c>
      <c r="AM7" s="133" t="s">
        <v>51</v>
      </c>
      <c r="AN7" s="134">
        <v>0</v>
      </c>
      <c r="AO7" s="134">
        <v>0</v>
      </c>
      <c r="AP7" s="8">
        <f t="shared" si="6"/>
        <v>0</v>
      </c>
      <c r="AQ7" s="131"/>
      <c r="AR7" s="132" t="s">
        <v>31</v>
      </c>
      <c r="AS7" s="133" t="s">
        <v>51</v>
      </c>
      <c r="AT7" s="134">
        <v>0</v>
      </c>
      <c r="AU7" s="134">
        <v>0</v>
      </c>
      <c r="AV7" s="8">
        <f t="shared" si="7"/>
        <v>0</v>
      </c>
      <c r="AW7" s="131"/>
      <c r="AX7" s="132" t="s">
        <v>31</v>
      </c>
      <c r="AY7" s="133" t="s">
        <v>51</v>
      </c>
      <c r="AZ7" s="134">
        <v>0</v>
      </c>
      <c r="BA7" s="134">
        <v>0</v>
      </c>
      <c r="BB7" s="8">
        <f t="shared" si="8"/>
        <v>0</v>
      </c>
      <c r="BC7" s="131"/>
      <c r="BD7" s="132" t="s">
        <v>31</v>
      </c>
      <c r="BE7" s="133" t="s">
        <v>51</v>
      </c>
      <c r="BF7" s="134">
        <v>131450</v>
      </c>
      <c r="BG7" s="134">
        <v>0</v>
      </c>
      <c r="BH7" s="8">
        <f t="shared" si="9"/>
        <v>131450</v>
      </c>
    </row>
    <row r="8" spans="1:60" ht="21">
      <c r="A8" s="131"/>
      <c r="B8" s="132" t="s">
        <v>31</v>
      </c>
      <c r="C8" s="133" t="s">
        <v>52</v>
      </c>
      <c r="D8" s="134">
        <v>0</v>
      </c>
      <c r="E8" s="134">
        <v>0</v>
      </c>
      <c r="F8" s="8">
        <f t="shared" si="0"/>
        <v>0</v>
      </c>
      <c r="G8" s="131"/>
      <c r="H8" s="132" t="s">
        <v>31</v>
      </c>
      <c r="I8" s="133" t="s">
        <v>52</v>
      </c>
      <c r="J8" s="134">
        <v>0</v>
      </c>
      <c r="K8" s="134">
        <v>0</v>
      </c>
      <c r="L8" s="8">
        <f t="shared" si="1"/>
        <v>0</v>
      </c>
      <c r="M8" s="131"/>
      <c r="N8" s="132" t="s">
        <v>31</v>
      </c>
      <c r="O8" s="133" t="s">
        <v>52</v>
      </c>
      <c r="P8" s="134">
        <v>0</v>
      </c>
      <c r="Q8" s="134">
        <v>0</v>
      </c>
      <c r="R8" s="8">
        <f t="shared" si="2"/>
        <v>0</v>
      </c>
      <c r="S8" s="131"/>
      <c r="T8" s="132" t="s">
        <v>31</v>
      </c>
      <c r="U8" s="133" t="s">
        <v>52</v>
      </c>
      <c r="V8" s="134">
        <v>0</v>
      </c>
      <c r="W8" s="134">
        <v>0</v>
      </c>
      <c r="X8" s="8">
        <f t="shared" si="3"/>
        <v>0</v>
      </c>
      <c r="Y8" s="131"/>
      <c r="Z8" s="132" t="s">
        <v>31</v>
      </c>
      <c r="AA8" s="133" t="s">
        <v>52</v>
      </c>
      <c r="AB8" s="134">
        <v>0</v>
      </c>
      <c r="AC8" s="134">
        <v>0</v>
      </c>
      <c r="AD8" s="8">
        <f t="shared" si="4"/>
        <v>0</v>
      </c>
      <c r="AE8" s="131"/>
      <c r="AF8" s="132" t="s">
        <v>31</v>
      </c>
      <c r="AG8" s="133" t="s">
        <v>52</v>
      </c>
      <c r="AH8" s="134">
        <v>0</v>
      </c>
      <c r="AI8" s="134">
        <v>0</v>
      </c>
      <c r="AJ8" s="8">
        <f t="shared" si="5"/>
        <v>0</v>
      </c>
      <c r="AK8" s="131"/>
      <c r="AL8" s="132" t="s">
        <v>31</v>
      </c>
      <c r="AM8" s="133" t="s">
        <v>52</v>
      </c>
      <c r="AN8" s="134">
        <v>0</v>
      </c>
      <c r="AO8" s="134">
        <v>0</v>
      </c>
      <c r="AP8" s="8">
        <f t="shared" si="6"/>
        <v>0</v>
      </c>
      <c r="AQ8" s="131"/>
      <c r="AR8" s="132" t="s">
        <v>31</v>
      </c>
      <c r="AS8" s="133" t="s">
        <v>52</v>
      </c>
      <c r="AT8" s="134">
        <v>0</v>
      </c>
      <c r="AU8" s="134">
        <v>0</v>
      </c>
      <c r="AV8" s="8">
        <f t="shared" si="7"/>
        <v>0</v>
      </c>
      <c r="AW8" s="131"/>
      <c r="AX8" s="132" t="s">
        <v>31</v>
      </c>
      <c r="AY8" s="133" t="s">
        <v>52</v>
      </c>
      <c r="AZ8" s="134">
        <v>0</v>
      </c>
      <c r="BA8" s="134">
        <v>0</v>
      </c>
      <c r="BB8" s="8">
        <f t="shared" si="8"/>
        <v>0</v>
      </c>
      <c r="BC8" s="131"/>
      <c r="BD8" s="132" t="s">
        <v>31</v>
      </c>
      <c r="BE8" s="133" t="s">
        <v>52</v>
      </c>
      <c r="BF8" s="134">
        <v>25000</v>
      </c>
      <c r="BG8" s="134">
        <v>0</v>
      </c>
      <c r="BH8" s="8">
        <f t="shared" si="9"/>
        <v>25000</v>
      </c>
    </row>
    <row r="9" spans="1:60" ht="21">
      <c r="A9" s="135"/>
      <c r="B9" s="136" t="s">
        <v>62</v>
      </c>
      <c r="C9" s="137" t="s">
        <v>63</v>
      </c>
      <c r="D9" s="138">
        <v>0</v>
      </c>
      <c r="E9" s="138">
        <v>0</v>
      </c>
      <c r="F9" s="8">
        <f t="shared" si="0"/>
        <v>0</v>
      </c>
      <c r="G9" s="135"/>
      <c r="H9" s="136" t="s">
        <v>62</v>
      </c>
      <c r="I9" s="137" t="s">
        <v>63</v>
      </c>
      <c r="J9" s="138">
        <v>0</v>
      </c>
      <c r="K9" s="138">
        <v>0</v>
      </c>
      <c r="L9" s="8">
        <f t="shared" si="1"/>
        <v>0</v>
      </c>
      <c r="M9" s="135"/>
      <c r="N9" s="136" t="s">
        <v>62</v>
      </c>
      <c r="O9" s="137" t="s">
        <v>63</v>
      </c>
      <c r="P9" s="138">
        <v>0</v>
      </c>
      <c r="Q9" s="138">
        <v>0</v>
      </c>
      <c r="R9" s="8">
        <f t="shared" si="2"/>
        <v>0</v>
      </c>
      <c r="S9" s="135"/>
      <c r="T9" s="136" t="s">
        <v>62</v>
      </c>
      <c r="U9" s="137" t="s">
        <v>63</v>
      </c>
      <c r="V9" s="138">
        <v>0</v>
      </c>
      <c r="W9" s="138">
        <v>0</v>
      </c>
      <c r="X9" s="8">
        <f t="shared" si="3"/>
        <v>0</v>
      </c>
      <c r="Y9" s="135"/>
      <c r="Z9" s="136" t="s">
        <v>62</v>
      </c>
      <c r="AA9" s="137" t="s">
        <v>63</v>
      </c>
      <c r="AB9" s="138">
        <v>0</v>
      </c>
      <c r="AC9" s="138">
        <v>0</v>
      </c>
      <c r="AD9" s="8">
        <f t="shared" si="4"/>
        <v>0</v>
      </c>
      <c r="AE9" s="135"/>
      <c r="AF9" s="136" t="s">
        <v>62</v>
      </c>
      <c r="AG9" s="137" t="s">
        <v>63</v>
      </c>
      <c r="AH9" s="138">
        <v>0</v>
      </c>
      <c r="AI9" s="138">
        <v>0</v>
      </c>
      <c r="AJ9" s="8">
        <f t="shared" si="5"/>
        <v>0</v>
      </c>
      <c r="AK9" s="135"/>
      <c r="AL9" s="136" t="s">
        <v>62</v>
      </c>
      <c r="AM9" s="137" t="s">
        <v>63</v>
      </c>
      <c r="AN9" s="138">
        <v>0</v>
      </c>
      <c r="AO9" s="138">
        <v>0</v>
      </c>
      <c r="AP9" s="8">
        <f t="shared" si="6"/>
        <v>0</v>
      </c>
      <c r="AQ9" s="135"/>
      <c r="AR9" s="136" t="s">
        <v>62</v>
      </c>
      <c r="AS9" s="137" t="s">
        <v>63</v>
      </c>
      <c r="AT9" s="138">
        <v>0</v>
      </c>
      <c r="AU9" s="138">
        <v>0</v>
      </c>
      <c r="AV9" s="8">
        <f t="shared" si="7"/>
        <v>0</v>
      </c>
      <c r="AW9" s="135"/>
      <c r="AX9" s="136" t="s">
        <v>62</v>
      </c>
      <c r="AY9" s="137" t="s">
        <v>63</v>
      </c>
      <c r="AZ9" s="138">
        <v>0</v>
      </c>
      <c r="BA9" s="138">
        <v>0</v>
      </c>
      <c r="BB9" s="8">
        <f t="shared" si="8"/>
        <v>0</v>
      </c>
      <c r="BC9" s="135"/>
      <c r="BD9" s="136" t="s">
        <v>62</v>
      </c>
      <c r="BE9" s="137" t="s">
        <v>63</v>
      </c>
      <c r="BF9" s="138">
        <v>222000</v>
      </c>
      <c r="BG9" s="138">
        <v>0</v>
      </c>
      <c r="BH9" s="8">
        <f t="shared" si="9"/>
        <v>222000</v>
      </c>
    </row>
    <row r="10" spans="1:60" ht="21">
      <c r="A10" s="135"/>
      <c r="B10" s="136" t="s">
        <v>62</v>
      </c>
      <c r="C10" s="137" t="s">
        <v>64</v>
      </c>
      <c r="D10" s="138">
        <v>0</v>
      </c>
      <c r="E10" s="138">
        <v>0</v>
      </c>
      <c r="F10" s="8">
        <f t="shared" si="0"/>
        <v>0</v>
      </c>
      <c r="G10" s="135"/>
      <c r="H10" s="136" t="s">
        <v>62</v>
      </c>
      <c r="I10" s="137" t="s">
        <v>64</v>
      </c>
      <c r="J10" s="138">
        <v>0</v>
      </c>
      <c r="K10" s="138">
        <v>0</v>
      </c>
      <c r="L10" s="8">
        <f t="shared" si="1"/>
        <v>0</v>
      </c>
      <c r="M10" s="135"/>
      <c r="N10" s="136" t="s">
        <v>62</v>
      </c>
      <c r="O10" s="137" t="s">
        <v>64</v>
      </c>
      <c r="P10" s="138">
        <v>0</v>
      </c>
      <c r="Q10" s="138">
        <v>0</v>
      </c>
      <c r="R10" s="8">
        <f t="shared" si="2"/>
        <v>0</v>
      </c>
      <c r="S10" s="135"/>
      <c r="T10" s="136" t="s">
        <v>62</v>
      </c>
      <c r="U10" s="137" t="s">
        <v>64</v>
      </c>
      <c r="V10" s="138">
        <v>0</v>
      </c>
      <c r="W10" s="138">
        <v>0</v>
      </c>
      <c r="X10" s="8">
        <f t="shared" si="3"/>
        <v>0</v>
      </c>
      <c r="Y10" s="135"/>
      <c r="Z10" s="136" t="s">
        <v>62</v>
      </c>
      <c r="AA10" s="137" t="s">
        <v>64</v>
      </c>
      <c r="AB10" s="138">
        <v>0</v>
      </c>
      <c r="AC10" s="138">
        <v>0</v>
      </c>
      <c r="AD10" s="8">
        <f t="shared" si="4"/>
        <v>0</v>
      </c>
      <c r="AE10" s="135"/>
      <c r="AF10" s="136" t="s">
        <v>62</v>
      </c>
      <c r="AG10" s="137" t="s">
        <v>64</v>
      </c>
      <c r="AH10" s="138">
        <v>0</v>
      </c>
      <c r="AI10" s="138">
        <v>0</v>
      </c>
      <c r="AJ10" s="8">
        <f t="shared" si="5"/>
        <v>0</v>
      </c>
      <c r="AK10" s="135"/>
      <c r="AL10" s="136" t="s">
        <v>62</v>
      </c>
      <c r="AM10" s="137" t="s">
        <v>64</v>
      </c>
      <c r="AN10" s="138">
        <v>0</v>
      </c>
      <c r="AO10" s="138">
        <v>0</v>
      </c>
      <c r="AP10" s="8">
        <f t="shared" si="6"/>
        <v>0</v>
      </c>
      <c r="AQ10" s="135"/>
      <c r="AR10" s="136" t="s">
        <v>62</v>
      </c>
      <c r="AS10" s="137" t="s">
        <v>64</v>
      </c>
      <c r="AT10" s="138">
        <v>0</v>
      </c>
      <c r="AU10" s="138">
        <v>0</v>
      </c>
      <c r="AV10" s="8">
        <f t="shared" si="7"/>
        <v>0</v>
      </c>
      <c r="AW10" s="135"/>
      <c r="AX10" s="136" t="s">
        <v>62</v>
      </c>
      <c r="AY10" s="137" t="s">
        <v>64</v>
      </c>
      <c r="AZ10" s="138">
        <v>0</v>
      </c>
      <c r="BA10" s="138">
        <v>0</v>
      </c>
      <c r="BB10" s="8">
        <f t="shared" si="8"/>
        <v>0</v>
      </c>
      <c r="BC10" s="135"/>
      <c r="BD10" s="136" t="s">
        <v>62</v>
      </c>
      <c r="BE10" s="137" t="s">
        <v>215</v>
      </c>
      <c r="BF10" s="138">
        <v>1080</v>
      </c>
      <c r="BG10" s="138">
        <v>0</v>
      </c>
      <c r="BH10" s="8">
        <f t="shared" si="9"/>
        <v>1080</v>
      </c>
    </row>
    <row r="11" spans="1:60" ht="21">
      <c r="A11" s="135" t="s">
        <v>65</v>
      </c>
      <c r="B11" s="136" t="s">
        <v>62</v>
      </c>
      <c r="C11" s="137" t="s">
        <v>66</v>
      </c>
      <c r="D11" s="138">
        <v>0</v>
      </c>
      <c r="E11" s="138">
        <v>0</v>
      </c>
      <c r="F11" s="8">
        <f t="shared" si="0"/>
        <v>0</v>
      </c>
      <c r="G11" s="135" t="s">
        <v>65</v>
      </c>
      <c r="H11" s="136" t="s">
        <v>62</v>
      </c>
      <c r="I11" s="137" t="s">
        <v>66</v>
      </c>
      <c r="J11" s="138">
        <v>0</v>
      </c>
      <c r="K11" s="138">
        <v>0</v>
      </c>
      <c r="L11" s="8">
        <f t="shared" si="1"/>
        <v>0</v>
      </c>
      <c r="M11" s="135" t="s">
        <v>65</v>
      </c>
      <c r="N11" s="136" t="s">
        <v>62</v>
      </c>
      <c r="O11" s="137" t="s">
        <v>66</v>
      </c>
      <c r="P11" s="138">
        <v>0</v>
      </c>
      <c r="Q11" s="138">
        <v>0</v>
      </c>
      <c r="R11" s="8">
        <f t="shared" si="2"/>
        <v>0</v>
      </c>
      <c r="S11" s="135" t="s">
        <v>65</v>
      </c>
      <c r="T11" s="136" t="s">
        <v>62</v>
      </c>
      <c r="U11" s="137" t="s">
        <v>66</v>
      </c>
      <c r="V11" s="138">
        <v>0</v>
      </c>
      <c r="W11" s="138">
        <v>0</v>
      </c>
      <c r="X11" s="8">
        <f t="shared" si="3"/>
        <v>0</v>
      </c>
      <c r="Y11" s="135" t="s">
        <v>65</v>
      </c>
      <c r="Z11" s="136" t="s">
        <v>62</v>
      </c>
      <c r="AA11" s="137" t="s">
        <v>66</v>
      </c>
      <c r="AB11" s="138">
        <v>0</v>
      </c>
      <c r="AC11" s="138">
        <v>0</v>
      </c>
      <c r="AD11" s="8">
        <f t="shared" si="4"/>
        <v>0</v>
      </c>
      <c r="AE11" s="135" t="s">
        <v>65</v>
      </c>
      <c r="AF11" s="136" t="s">
        <v>62</v>
      </c>
      <c r="AG11" s="137" t="s">
        <v>66</v>
      </c>
      <c r="AH11" s="138">
        <v>0</v>
      </c>
      <c r="AI11" s="138">
        <v>0</v>
      </c>
      <c r="AJ11" s="8">
        <f t="shared" si="5"/>
        <v>0</v>
      </c>
      <c r="AK11" s="135" t="s">
        <v>65</v>
      </c>
      <c r="AL11" s="136" t="s">
        <v>62</v>
      </c>
      <c r="AM11" s="137" t="s">
        <v>66</v>
      </c>
      <c r="AN11" s="138">
        <v>0</v>
      </c>
      <c r="AO11" s="138">
        <v>0</v>
      </c>
      <c r="AP11" s="8">
        <f t="shared" si="6"/>
        <v>0</v>
      </c>
      <c r="AQ11" s="135" t="s">
        <v>65</v>
      </c>
      <c r="AR11" s="136" t="s">
        <v>62</v>
      </c>
      <c r="AS11" s="137" t="s">
        <v>66</v>
      </c>
      <c r="AT11" s="138">
        <v>0</v>
      </c>
      <c r="AU11" s="138">
        <v>0</v>
      </c>
      <c r="AV11" s="8">
        <f t="shared" si="7"/>
        <v>0</v>
      </c>
      <c r="AW11" s="135" t="s">
        <v>65</v>
      </c>
      <c r="AX11" s="136" t="s">
        <v>62</v>
      </c>
      <c r="AY11" s="137" t="s">
        <v>66</v>
      </c>
      <c r="AZ11" s="138">
        <v>0</v>
      </c>
      <c r="BA11" s="138">
        <v>0</v>
      </c>
      <c r="BB11" s="8">
        <f t="shared" si="8"/>
        <v>0</v>
      </c>
      <c r="BC11" s="135" t="s">
        <v>65</v>
      </c>
      <c r="BD11" s="136" t="s">
        <v>62</v>
      </c>
      <c r="BE11" s="137" t="s">
        <v>66</v>
      </c>
      <c r="BF11" s="138">
        <v>85000</v>
      </c>
      <c r="BG11" s="138">
        <v>0</v>
      </c>
      <c r="BH11" s="8">
        <f t="shared" si="9"/>
        <v>85000</v>
      </c>
    </row>
    <row r="12" spans="1:60" ht="21">
      <c r="A12" s="135"/>
      <c r="B12" s="136" t="s">
        <v>62</v>
      </c>
      <c r="C12" s="137" t="s">
        <v>109</v>
      </c>
      <c r="D12" s="138">
        <v>0</v>
      </c>
      <c r="E12" s="138">
        <v>0</v>
      </c>
      <c r="F12" s="8">
        <f t="shared" si="0"/>
        <v>0</v>
      </c>
      <c r="G12" s="135"/>
      <c r="H12" s="136" t="s">
        <v>62</v>
      </c>
      <c r="I12" s="137" t="s">
        <v>109</v>
      </c>
      <c r="J12" s="138">
        <v>0</v>
      </c>
      <c r="K12" s="138">
        <v>0</v>
      </c>
      <c r="L12" s="8">
        <f t="shared" si="1"/>
        <v>0</v>
      </c>
      <c r="M12" s="135"/>
      <c r="N12" s="136" t="s">
        <v>62</v>
      </c>
      <c r="O12" s="137" t="s">
        <v>109</v>
      </c>
      <c r="P12" s="138">
        <v>0</v>
      </c>
      <c r="Q12" s="138">
        <v>0</v>
      </c>
      <c r="R12" s="8">
        <f t="shared" si="2"/>
        <v>0</v>
      </c>
      <c r="S12" s="135"/>
      <c r="T12" s="136" t="s">
        <v>62</v>
      </c>
      <c r="U12" s="137" t="s">
        <v>109</v>
      </c>
      <c r="V12" s="138">
        <v>0</v>
      </c>
      <c r="W12" s="138">
        <v>0</v>
      </c>
      <c r="X12" s="8">
        <f t="shared" si="3"/>
        <v>0</v>
      </c>
      <c r="Y12" s="135"/>
      <c r="Z12" s="136" t="s">
        <v>62</v>
      </c>
      <c r="AA12" s="137" t="s">
        <v>109</v>
      </c>
      <c r="AB12" s="138">
        <v>0</v>
      </c>
      <c r="AC12" s="138">
        <v>0</v>
      </c>
      <c r="AD12" s="8">
        <f t="shared" si="4"/>
        <v>0</v>
      </c>
      <c r="AE12" s="135"/>
      <c r="AF12" s="136" t="s">
        <v>62</v>
      </c>
      <c r="AG12" s="137" t="s">
        <v>109</v>
      </c>
      <c r="AH12" s="138">
        <v>0</v>
      </c>
      <c r="AI12" s="138">
        <v>0</v>
      </c>
      <c r="AJ12" s="8">
        <f t="shared" si="5"/>
        <v>0</v>
      </c>
      <c r="AK12" s="135"/>
      <c r="AL12" s="136" t="s">
        <v>62</v>
      </c>
      <c r="AM12" s="137" t="s">
        <v>109</v>
      </c>
      <c r="AN12" s="138">
        <v>0</v>
      </c>
      <c r="AO12" s="138">
        <v>0</v>
      </c>
      <c r="AP12" s="8">
        <f t="shared" si="6"/>
        <v>0</v>
      </c>
      <c r="AQ12" s="135"/>
      <c r="AR12" s="136" t="s">
        <v>62</v>
      </c>
      <c r="AS12" s="137" t="s">
        <v>109</v>
      </c>
      <c r="AT12" s="138">
        <v>0</v>
      </c>
      <c r="AU12" s="138">
        <v>0</v>
      </c>
      <c r="AV12" s="8">
        <f t="shared" si="7"/>
        <v>0</v>
      </c>
      <c r="AW12" s="135"/>
      <c r="AX12" s="136" t="s">
        <v>62</v>
      </c>
      <c r="AY12" s="137" t="s">
        <v>109</v>
      </c>
      <c r="AZ12" s="138">
        <v>0</v>
      </c>
      <c r="BA12" s="138">
        <v>0</v>
      </c>
      <c r="BB12" s="8">
        <f t="shared" si="8"/>
        <v>0</v>
      </c>
      <c r="BC12" s="135"/>
      <c r="BD12" s="136" t="s">
        <v>62</v>
      </c>
      <c r="BE12" s="137" t="s">
        <v>214</v>
      </c>
      <c r="BF12" s="138">
        <v>34000</v>
      </c>
      <c r="BG12" s="138">
        <v>0</v>
      </c>
      <c r="BH12" s="8">
        <f t="shared" si="9"/>
        <v>34000</v>
      </c>
    </row>
    <row r="13" spans="1:60" ht="21">
      <c r="A13" s="135"/>
      <c r="B13" s="136" t="s">
        <v>31</v>
      </c>
      <c r="C13" s="137" t="s">
        <v>74</v>
      </c>
      <c r="D13" s="138">
        <v>0</v>
      </c>
      <c r="E13" s="138">
        <v>0</v>
      </c>
      <c r="F13" s="8">
        <f t="shared" si="0"/>
        <v>0</v>
      </c>
      <c r="G13" s="135"/>
      <c r="H13" s="136" t="s">
        <v>31</v>
      </c>
      <c r="I13" s="137" t="s">
        <v>74</v>
      </c>
      <c r="J13" s="138">
        <v>0</v>
      </c>
      <c r="K13" s="138">
        <v>0</v>
      </c>
      <c r="L13" s="8">
        <f t="shared" si="1"/>
        <v>0</v>
      </c>
      <c r="M13" s="135"/>
      <c r="N13" s="136" t="s">
        <v>31</v>
      </c>
      <c r="O13" s="137" t="s">
        <v>74</v>
      </c>
      <c r="P13" s="138">
        <v>0</v>
      </c>
      <c r="Q13" s="138">
        <v>0</v>
      </c>
      <c r="R13" s="8">
        <f t="shared" si="2"/>
        <v>0</v>
      </c>
      <c r="S13" s="135"/>
      <c r="T13" s="136" t="s">
        <v>31</v>
      </c>
      <c r="U13" s="137" t="s">
        <v>74</v>
      </c>
      <c r="V13" s="138">
        <v>0</v>
      </c>
      <c r="W13" s="138">
        <v>0</v>
      </c>
      <c r="X13" s="8">
        <f t="shared" si="3"/>
        <v>0</v>
      </c>
      <c r="Y13" s="135"/>
      <c r="Z13" s="136" t="s">
        <v>31</v>
      </c>
      <c r="AA13" s="137" t="s">
        <v>74</v>
      </c>
      <c r="AB13" s="138">
        <v>0</v>
      </c>
      <c r="AC13" s="138">
        <v>0</v>
      </c>
      <c r="AD13" s="8">
        <f t="shared" si="4"/>
        <v>0</v>
      </c>
      <c r="AE13" s="135"/>
      <c r="AF13" s="136" t="s">
        <v>31</v>
      </c>
      <c r="AG13" s="137" t="s">
        <v>74</v>
      </c>
      <c r="AH13" s="138">
        <v>0</v>
      </c>
      <c r="AI13" s="138">
        <v>0</v>
      </c>
      <c r="AJ13" s="8">
        <f t="shared" si="5"/>
        <v>0</v>
      </c>
      <c r="AK13" s="135"/>
      <c r="AL13" s="136" t="s">
        <v>31</v>
      </c>
      <c r="AM13" s="137" t="s">
        <v>74</v>
      </c>
      <c r="AN13" s="138">
        <v>0</v>
      </c>
      <c r="AO13" s="138">
        <v>0</v>
      </c>
      <c r="AP13" s="8">
        <f t="shared" si="6"/>
        <v>0</v>
      </c>
      <c r="AQ13" s="135"/>
      <c r="AR13" s="136" t="s">
        <v>31</v>
      </c>
      <c r="AS13" s="137" t="s">
        <v>74</v>
      </c>
      <c r="AT13" s="138">
        <v>0</v>
      </c>
      <c r="AU13" s="138">
        <v>0</v>
      </c>
      <c r="AV13" s="8">
        <f t="shared" si="7"/>
        <v>0</v>
      </c>
      <c r="AW13" s="135"/>
      <c r="AX13" s="136" t="s">
        <v>31</v>
      </c>
      <c r="AY13" s="137" t="s">
        <v>74</v>
      </c>
      <c r="AZ13" s="138">
        <v>0</v>
      </c>
      <c r="BA13" s="138">
        <v>0</v>
      </c>
      <c r="BB13" s="8">
        <f t="shared" si="8"/>
        <v>0</v>
      </c>
      <c r="BC13" s="135"/>
      <c r="BD13" s="136" t="s">
        <v>31</v>
      </c>
      <c r="BE13" s="137" t="s">
        <v>74</v>
      </c>
      <c r="BF13" s="138">
        <v>0</v>
      </c>
      <c r="BG13" s="138">
        <v>0</v>
      </c>
      <c r="BH13" s="8">
        <f t="shared" si="9"/>
        <v>0</v>
      </c>
    </row>
    <row r="14" spans="1:60" ht="21">
      <c r="A14" s="135"/>
      <c r="B14" s="136" t="s">
        <v>31</v>
      </c>
      <c r="C14" s="137" t="s">
        <v>93</v>
      </c>
      <c r="D14" s="138">
        <v>0</v>
      </c>
      <c r="E14" s="138">
        <v>0</v>
      </c>
      <c r="F14" s="8">
        <f t="shared" si="0"/>
        <v>0</v>
      </c>
      <c r="G14" s="135"/>
      <c r="H14" s="136" t="s">
        <v>31</v>
      </c>
      <c r="I14" s="137" t="s">
        <v>93</v>
      </c>
      <c r="J14" s="138">
        <v>0</v>
      </c>
      <c r="K14" s="138">
        <v>0</v>
      </c>
      <c r="L14" s="8">
        <f t="shared" si="1"/>
        <v>0</v>
      </c>
      <c r="M14" s="135"/>
      <c r="N14" s="136" t="s">
        <v>31</v>
      </c>
      <c r="O14" s="137" t="s">
        <v>93</v>
      </c>
      <c r="P14" s="138">
        <v>0</v>
      </c>
      <c r="Q14" s="138">
        <v>0</v>
      </c>
      <c r="R14" s="8">
        <f t="shared" si="2"/>
        <v>0</v>
      </c>
      <c r="S14" s="135"/>
      <c r="T14" s="136" t="s">
        <v>31</v>
      </c>
      <c r="U14" s="137" t="s">
        <v>93</v>
      </c>
      <c r="V14" s="138">
        <v>0</v>
      </c>
      <c r="W14" s="138">
        <v>0</v>
      </c>
      <c r="X14" s="8">
        <f t="shared" si="3"/>
        <v>0</v>
      </c>
      <c r="Y14" s="135"/>
      <c r="Z14" s="136" t="s">
        <v>31</v>
      </c>
      <c r="AA14" s="137" t="s">
        <v>93</v>
      </c>
      <c r="AB14" s="138">
        <v>0</v>
      </c>
      <c r="AC14" s="138">
        <v>0</v>
      </c>
      <c r="AD14" s="8">
        <f t="shared" si="4"/>
        <v>0</v>
      </c>
      <c r="AE14" s="135"/>
      <c r="AF14" s="136" t="s">
        <v>31</v>
      </c>
      <c r="AG14" s="137" t="s">
        <v>93</v>
      </c>
      <c r="AH14" s="138">
        <v>0</v>
      </c>
      <c r="AI14" s="138">
        <v>0</v>
      </c>
      <c r="AJ14" s="8">
        <f t="shared" si="5"/>
        <v>0</v>
      </c>
      <c r="AK14" s="135"/>
      <c r="AL14" s="136" t="s">
        <v>31</v>
      </c>
      <c r="AM14" s="137" t="s">
        <v>93</v>
      </c>
      <c r="AN14" s="138">
        <v>0</v>
      </c>
      <c r="AO14" s="138">
        <v>0</v>
      </c>
      <c r="AP14" s="8">
        <f t="shared" si="6"/>
        <v>0</v>
      </c>
      <c r="AQ14" s="135"/>
      <c r="AR14" s="136" t="s">
        <v>31</v>
      </c>
      <c r="AS14" s="137" t="s">
        <v>93</v>
      </c>
      <c r="AT14" s="138">
        <v>0</v>
      </c>
      <c r="AU14" s="138">
        <v>0</v>
      </c>
      <c r="AV14" s="8">
        <f t="shared" si="7"/>
        <v>0</v>
      </c>
      <c r="AW14" s="135"/>
      <c r="AX14" s="136" t="s">
        <v>31</v>
      </c>
      <c r="AY14" s="137" t="s">
        <v>93</v>
      </c>
      <c r="AZ14" s="138">
        <v>0</v>
      </c>
      <c r="BA14" s="138">
        <v>0</v>
      </c>
      <c r="BB14" s="8">
        <f t="shared" si="8"/>
        <v>0</v>
      </c>
      <c r="BC14" s="135"/>
      <c r="BD14" s="136" t="s">
        <v>31</v>
      </c>
      <c r="BE14" s="137" t="s">
        <v>93</v>
      </c>
      <c r="BF14" s="138">
        <v>0</v>
      </c>
      <c r="BG14" s="138">
        <v>0</v>
      </c>
      <c r="BH14" s="8">
        <f t="shared" si="9"/>
        <v>0</v>
      </c>
    </row>
    <row r="15" spans="1:60" ht="21">
      <c r="A15" s="135"/>
      <c r="B15" s="136" t="s">
        <v>31</v>
      </c>
      <c r="C15" s="137" t="s">
        <v>139</v>
      </c>
      <c r="D15" s="138">
        <v>7200</v>
      </c>
      <c r="E15" s="138">
        <v>0</v>
      </c>
      <c r="F15" s="8">
        <f t="shared" si="0"/>
        <v>7200</v>
      </c>
      <c r="G15" s="135"/>
      <c r="H15" s="136" t="s">
        <v>31</v>
      </c>
      <c r="I15" s="137" t="s">
        <v>139</v>
      </c>
      <c r="J15" s="138">
        <v>0</v>
      </c>
      <c r="K15" s="138">
        <v>0</v>
      </c>
      <c r="L15" s="8">
        <f t="shared" si="1"/>
        <v>0</v>
      </c>
      <c r="M15" s="135"/>
      <c r="N15" s="136" t="s">
        <v>31</v>
      </c>
      <c r="O15" s="137" t="s">
        <v>139</v>
      </c>
      <c r="P15" s="138">
        <v>0</v>
      </c>
      <c r="Q15" s="138">
        <v>0</v>
      </c>
      <c r="R15" s="8">
        <f t="shared" si="2"/>
        <v>0</v>
      </c>
      <c r="S15" s="135"/>
      <c r="T15" s="136" t="s">
        <v>31</v>
      </c>
      <c r="U15" s="137" t="s">
        <v>139</v>
      </c>
      <c r="V15" s="138">
        <v>0</v>
      </c>
      <c r="W15" s="138">
        <v>0</v>
      </c>
      <c r="X15" s="8">
        <f t="shared" si="3"/>
        <v>0</v>
      </c>
      <c r="Y15" s="135"/>
      <c r="Z15" s="136" t="s">
        <v>31</v>
      </c>
      <c r="AA15" s="137" t="s">
        <v>139</v>
      </c>
      <c r="AB15" s="138">
        <v>0</v>
      </c>
      <c r="AC15" s="138">
        <v>0</v>
      </c>
      <c r="AD15" s="8">
        <f t="shared" si="4"/>
        <v>0</v>
      </c>
      <c r="AE15" s="135"/>
      <c r="AF15" s="136" t="s">
        <v>31</v>
      </c>
      <c r="AG15" s="137" t="s">
        <v>139</v>
      </c>
      <c r="AH15" s="138">
        <v>0</v>
      </c>
      <c r="AI15" s="138">
        <v>0</v>
      </c>
      <c r="AJ15" s="8">
        <f t="shared" si="5"/>
        <v>0</v>
      </c>
      <c r="AK15" s="135"/>
      <c r="AL15" s="136" t="s">
        <v>31</v>
      </c>
      <c r="AM15" s="137" t="s">
        <v>139</v>
      </c>
      <c r="AN15" s="138">
        <v>0</v>
      </c>
      <c r="AO15" s="138">
        <v>0</v>
      </c>
      <c r="AP15" s="8">
        <f t="shared" si="6"/>
        <v>0</v>
      </c>
      <c r="AQ15" s="135"/>
      <c r="AR15" s="136" t="s">
        <v>31</v>
      </c>
      <c r="AS15" s="137" t="s">
        <v>139</v>
      </c>
      <c r="AT15" s="138">
        <v>0</v>
      </c>
      <c r="AU15" s="138">
        <v>0</v>
      </c>
      <c r="AV15" s="8">
        <f t="shared" si="7"/>
        <v>0</v>
      </c>
      <c r="AW15" s="135"/>
      <c r="AX15" s="136" t="s">
        <v>31</v>
      </c>
      <c r="AY15" s="137" t="s">
        <v>139</v>
      </c>
      <c r="AZ15" s="138">
        <v>0</v>
      </c>
      <c r="BA15" s="138">
        <v>0</v>
      </c>
      <c r="BB15" s="8">
        <f t="shared" si="8"/>
        <v>0</v>
      </c>
      <c r="BC15" s="135"/>
      <c r="BD15" s="136" t="s">
        <v>31</v>
      </c>
      <c r="BE15" s="137" t="s">
        <v>213</v>
      </c>
      <c r="BF15" s="138">
        <v>11400</v>
      </c>
      <c r="BG15" s="138">
        <v>0</v>
      </c>
      <c r="BH15" s="8">
        <f t="shared" si="9"/>
        <v>11400</v>
      </c>
    </row>
    <row r="16" spans="1:60" ht="21">
      <c r="A16" s="241"/>
      <c r="B16" s="330" t="s">
        <v>7</v>
      </c>
      <c r="C16" s="332"/>
      <c r="D16" s="4">
        <f>SUM(D5:D15)</f>
        <v>7200</v>
      </c>
      <c r="E16" s="4">
        <f>SUM(E5:E15)</f>
        <v>0</v>
      </c>
      <c r="F16" s="140">
        <f>+D16+E16</f>
        <v>7200</v>
      </c>
      <c r="G16" s="241"/>
      <c r="H16" s="330" t="s">
        <v>7</v>
      </c>
      <c r="I16" s="332"/>
      <c r="J16" s="4">
        <f>SUM(J5:J15)</f>
        <v>0</v>
      </c>
      <c r="K16" s="4">
        <f>SUM(K5:K15)</f>
        <v>0</v>
      </c>
      <c r="L16" s="140">
        <f>+J16+K16</f>
        <v>0</v>
      </c>
      <c r="M16" s="241"/>
      <c r="N16" s="330" t="s">
        <v>7</v>
      </c>
      <c r="O16" s="332"/>
      <c r="P16" s="4">
        <f>SUM(P5:P15)</f>
        <v>0</v>
      </c>
      <c r="Q16" s="4">
        <f>SUM(Q5:Q15)</f>
        <v>0</v>
      </c>
      <c r="R16" s="140">
        <f>+P16+Q16</f>
        <v>0</v>
      </c>
      <c r="S16" s="241"/>
      <c r="T16" s="330" t="s">
        <v>7</v>
      </c>
      <c r="U16" s="332"/>
      <c r="V16" s="4">
        <f>SUM(V5:V15)</f>
        <v>0</v>
      </c>
      <c r="W16" s="4">
        <f>SUM(W5:W15)</f>
        <v>0</v>
      </c>
      <c r="X16" s="140">
        <f>+V16+W16</f>
        <v>0</v>
      </c>
      <c r="Y16" s="241"/>
      <c r="Z16" s="330" t="s">
        <v>7</v>
      </c>
      <c r="AA16" s="332"/>
      <c r="AB16" s="4">
        <f>SUM(AB5:AB15)</f>
        <v>0</v>
      </c>
      <c r="AC16" s="4">
        <f>SUM(AC5:AC15)</f>
        <v>0</v>
      </c>
      <c r="AD16" s="140">
        <f>+AB16+AC16</f>
        <v>0</v>
      </c>
      <c r="AE16" s="241"/>
      <c r="AF16" s="330" t="s">
        <v>7</v>
      </c>
      <c r="AG16" s="332"/>
      <c r="AH16" s="4">
        <f>SUM(AH5:AH15)</f>
        <v>0</v>
      </c>
      <c r="AI16" s="4">
        <f>SUM(AI5:AI15)</f>
        <v>0</v>
      </c>
      <c r="AJ16" s="140">
        <f>+AH16+AI16</f>
        <v>0</v>
      </c>
      <c r="AK16" s="241"/>
      <c r="AL16" s="330" t="s">
        <v>7</v>
      </c>
      <c r="AM16" s="332"/>
      <c r="AN16" s="4">
        <f>SUM(AN5:AN15)</f>
        <v>0</v>
      </c>
      <c r="AO16" s="4">
        <f>SUM(AO5:AO15)</f>
        <v>0</v>
      </c>
      <c r="AP16" s="140">
        <f>+AN16+AO16</f>
        <v>0</v>
      </c>
      <c r="AQ16" s="241"/>
      <c r="AR16" s="330" t="s">
        <v>7</v>
      </c>
      <c r="AS16" s="332"/>
      <c r="AT16" s="4">
        <f>SUM(AT5:AT15)</f>
        <v>0</v>
      </c>
      <c r="AU16" s="4">
        <f>SUM(AU5:AU15)</f>
        <v>0</v>
      </c>
      <c r="AV16" s="140">
        <f>+AT16+AU16</f>
        <v>0</v>
      </c>
      <c r="AW16" s="241"/>
      <c r="AX16" s="330" t="s">
        <v>7</v>
      </c>
      <c r="AY16" s="332"/>
      <c r="AZ16" s="4">
        <f>SUM(AZ5:AZ15)</f>
        <v>0</v>
      </c>
      <c r="BA16" s="4">
        <f>SUM(BA5:BA15)</f>
        <v>0</v>
      </c>
      <c r="BB16" s="140">
        <f>+AZ16+BA16</f>
        <v>0</v>
      </c>
      <c r="BC16" s="241"/>
      <c r="BD16" s="330" t="s">
        <v>7</v>
      </c>
      <c r="BE16" s="332"/>
      <c r="BF16" s="4">
        <f>SUM(BF5:BF15)</f>
        <v>850395</v>
      </c>
      <c r="BG16" s="4">
        <f>SUM(BG5:BG15)</f>
        <v>0</v>
      </c>
      <c r="BH16" s="140">
        <f>+BF16+BG16</f>
        <v>850395</v>
      </c>
    </row>
    <row r="17" spans="1:60" ht="21">
      <c r="A17" s="127">
        <v>2</v>
      </c>
      <c r="B17" s="128" t="s">
        <v>4</v>
      </c>
      <c r="C17" s="129"/>
      <c r="D17" s="130"/>
      <c r="E17" s="130"/>
      <c r="F17" s="7"/>
      <c r="G17" s="127">
        <v>2</v>
      </c>
      <c r="H17" s="128" t="s">
        <v>4</v>
      </c>
      <c r="I17" s="129"/>
      <c r="J17" s="130"/>
      <c r="K17" s="130"/>
      <c r="L17" s="7"/>
      <c r="M17" s="127">
        <v>2</v>
      </c>
      <c r="N17" s="128" t="s">
        <v>4</v>
      </c>
      <c r="O17" s="129"/>
      <c r="P17" s="130"/>
      <c r="Q17" s="130"/>
      <c r="R17" s="7"/>
      <c r="S17" s="127">
        <v>2</v>
      </c>
      <c r="T17" s="128" t="s">
        <v>4</v>
      </c>
      <c r="U17" s="129"/>
      <c r="V17" s="130"/>
      <c r="W17" s="130"/>
      <c r="X17" s="7"/>
      <c r="Y17" s="127">
        <v>2</v>
      </c>
      <c r="Z17" s="128" t="s">
        <v>4</v>
      </c>
      <c r="AA17" s="129"/>
      <c r="AB17" s="130"/>
      <c r="AC17" s="130"/>
      <c r="AD17" s="7"/>
      <c r="AE17" s="127">
        <v>2</v>
      </c>
      <c r="AF17" s="128" t="s">
        <v>4</v>
      </c>
      <c r="AG17" s="129"/>
      <c r="AH17" s="130"/>
      <c r="AI17" s="130"/>
      <c r="AJ17" s="7"/>
      <c r="AK17" s="127">
        <v>2</v>
      </c>
      <c r="AL17" s="128" t="s">
        <v>4</v>
      </c>
      <c r="AM17" s="129"/>
      <c r="AN17" s="130"/>
      <c r="AO17" s="130"/>
      <c r="AP17" s="7"/>
      <c r="AQ17" s="127">
        <v>2</v>
      </c>
      <c r="AR17" s="128" t="s">
        <v>4</v>
      </c>
      <c r="AS17" s="129"/>
      <c r="AT17" s="130"/>
      <c r="AU17" s="130"/>
      <c r="AV17" s="7"/>
      <c r="AW17" s="127">
        <v>2</v>
      </c>
      <c r="AX17" s="128" t="s">
        <v>4</v>
      </c>
      <c r="AY17" s="129"/>
      <c r="AZ17" s="130"/>
      <c r="BA17" s="130"/>
      <c r="BB17" s="7"/>
      <c r="BC17" s="127">
        <v>2</v>
      </c>
      <c r="BD17" s="128" t="s">
        <v>4</v>
      </c>
      <c r="BE17" s="129"/>
      <c r="BF17" s="130"/>
      <c r="BG17" s="130"/>
      <c r="BH17" s="7"/>
    </row>
    <row r="18" spans="1:60" ht="21">
      <c r="A18" s="135"/>
      <c r="B18" s="132" t="s">
        <v>31</v>
      </c>
      <c r="C18" s="137" t="s">
        <v>58</v>
      </c>
      <c r="D18" s="141">
        <v>54767</v>
      </c>
      <c r="E18" s="138">
        <v>34261.4</v>
      </c>
      <c r="F18" s="141">
        <f>+D18+E18</f>
        <v>89028.4</v>
      </c>
      <c r="G18" s="135"/>
      <c r="H18" s="132" t="s">
        <v>31</v>
      </c>
      <c r="I18" s="137" t="s">
        <v>58</v>
      </c>
      <c r="J18" s="141">
        <v>1212834</v>
      </c>
      <c r="K18" s="138">
        <v>0</v>
      </c>
      <c r="L18" s="141">
        <f>+J18+K18</f>
        <v>1212834</v>
      </c>
      <c r="M18" s="135"/>
      <c r="N18" s="132" t="s">
        <v>31</v>
      </c>
      <c r="O18" s="137" t="s">
        <v>58</v>
      </c>
      <c r="P18" s="141">
        <v>3907789</v>
      </c>
      <c r="Q18" s="138">
        <v>0</v>
      </c>
      <c r="R18" s="141">
        <f>+P18+Q18</f>
        <v>3907789</v>
      </c>
      <c r="S18" s="135"/>
      <c r="T18" s="132" t="s">
        <v>31</v>
      </c>
      <c r="U18" s="137" t="s">
        <v>58</v>
      </c>
      <c r="V18" s="141">
        <v>3983944</v>
      </c>
      <c r="W18" s="138">
        <v>0</v>
      </c>
      <c r="X18" s="141">
        <f>+V18+W18</f>
        <v>3983944</v>
      </c>
      <c r="Y18" s="135"/>
      <c r="Z18" s="132" t="s">
        <v>31</v>
      </c>
      <c r="AA18" s="137" t="s">
        <v>58</v>
      </c>
      <c r="AB18" s="141">
        <v>3644672</v>
      </c>
      <c r="AC18" s="138">
        <v>0</v>
      </c>
      <c r="AD18" s="141">
        <f>+AB18+AC18</f>
        <v>3644672</v>
      </c>
      <c r="AE18" s="135"/>
      <c r="AF18" s="132" t="s">
        <v>31</v>
      </c>
      <c r="AG18" s="137" t="s">
        <v>58</v>
      </c>
      <c r="AH18" s="141">
        <v>3206576.8</v>
      </c>
      <c r="AI18" s="138">
        <v>0</v>
      </c>
      <c r="AJ18" s="141">
        <f>+AH18+AI18</f>
        <v>3206576.8</v>
      </c>
      <c r="AK18" s="135"/>
      <c r="AL18" s="132" t="s">
        <v>31</v>
      </c>
      <c r="AM18" s="137" t="s">
        <v>58</v>
      </c>
      <c r="AN18" s="141">
        <v>2807161.26</v>
      </c>
      <c r="AO18" s="138">
        <v>0</v>
      </c>
      <c r="AP18" s="141">
        <f>+AN18+AO18</f>
        <v>2807161.26</v>
      </c>
      <c r="AQ18" s="135"/>
      <c r="AR18" s="132" t="s">
        <v>31</v>
      </c>
      <c r="AS18" s="137" t="s">
        <v>58</v>
      </c>
      <c r="AT18" s="141">
        <v>2560195.52</v>
      </c>
      <c r="AU18" s="138">
        <v>0</v>
      </c>
      <c r="AV18" s="141">
        <f>+AT18+AU18</f>
        <v>2560195.52</v>
      </c>
      <c r="AW18" s="135"/>
      <c r="AX18" s="132" t="s">
        <v>31</v>
      </c>
      <c r="AY18" s="137" t="s">
        <v>58</v>
      </c>
      <c r="AZ18" s="141">
        <v>1402482.9</v>
      </c>
      <c r="BA18" s="138">
        <v>0</v>
      </c>
      <c r="BB18" s="141">
        <f>+AZ18+BA18</f>
        <v>1402482.9</v>
      </c>
      <c r="BC18" s="135"/>
      <c r="BD18" s="132" t="s">
        <v>31</v>
      </c>
      <c r="BE18" s="137" t="s">
        <v>58</v>
      </c>
      <c r="BF18" s="141">
        <v>376192</v>
      </c>
      <c r="BG18" s="138">
        <v>0</v>
      </c>
      <c r="BH18" s="141">
        <f>+BF18+BG18</f>
        <v>376192</v>
      </c>
    </row>
    <row r="19" spans="1:60" ht="21">
      <c r="A19" s="135"/>
      <c r="B19" s="132" t="s">
        <v>31</v>
      </c>
      <c r="C19" s="137" t="s">
        <v>60</v>
      </c>
      <c r="D19" s="141">
        <v>0</v>
      </c>
      <c r="E19" s="138">
        <v>0</v>
      </c>
      <c r="F19" s="141">
        <f>+D19+E19</f>
        <v>0</v>
      </c>
      <c r="G19" s="135"/>
      <c r="H19" s="132" t="s">
        <v>31</v>
      </c>
      <c r="I19" s="137" t="s">
        <v>60</v>
      </c>
      <c r="J19" s="141">
        <v>0</v>
      </c>
      <c r="K19" s="138">
        <v>0</v>
      </c>
      <c r="L19" s="141">
        <f>+J19+K19</f>
        <v>0</v>
      </c>
      <c r="M19" s="135"/>
      <c r="N19" s="132" t="s">
        <v>31</v>
      </c>
      <c r="O19" s="137" t="s">
        <v>60</v>
      </c>
      <c r="P19" s="141">
        <v>0</v>
      </c>
      <c r="Q19" s="138">
        <v>0</v>
      </c>
      <c r="R19" s="141">
        <f>+P19+Q19</f>
        <v>0</v>
      </c>
      <c r="S19" s="135"/>
      <c r="T19" s="132" t="s">
        <v>31</v>
      </c>
      <c r="U19" s="137" t="s">
        <v>60</v>
      </c>
      <c r="V19" s="141">
        <v>33000</v>
      </c>
      <c r="W19" s="138">
        <v>0</v>
      </c>
      <c r="X19" s="141">
        <f>+V19+W19</f>
        <v>33000</v>
      </c>
      <c r="Y19" s="135"/>
      <c r="Z19" s="132" t="s">
        <v>31</v>
      </c>
      <c r="AA19" s="137" t="s">
        <v>60</v>
      </c>
      <c r="AB19" s="141">
        <v>7150</v>
      </c>
      <c r="AC19" s="138">
        <v>0</v>
      </c>
      <c r="AD19" s="141">
        <f>+AB19+AC19</f>
        <v>7150</v>
      </c>
      <c r="AE19" s="135"/>
      <c r="AF19" s="132" t="s">
        <v>31</v>
      </c>
      <c r="AG19" s="137" t="s">
        <v>60</v>
      </c>
      <c r="AH19" s="141">
        <v>33110</v>
      </c>
      <c r="AI19" s="138">
        <v>0</v>
      </c>
      <c r="AJ19" s="141">
        <f>+AH19+AI19</f>
        <v>33110</v>
      </c>
      <c r="AK19" s="135"/>
      <c r="AL19" s="132" t="s">
        <v>31</v>
      </c>
      <c r="AM19" s="137" t="s">
        <v>60</v>
      </c>
      <c r="AN19" s="141">
        <v>7150</v>
      </c>
      <c r="AO19" s="138">
        <v>0</v>
      </c>
      <c r="AP19" s="141">
        <f>+AN19+AO19</f>
        <v>7150</v>
      </c>
      <c r="AQ19" s="135"/>
      <c r="AR19" s="132" t="s">
        <v>31</v>
      </c>
      <c r="AS19" s="137" t="s">
        <v>60</v>
      </c>
      <c r="AT19" s="141">
        <v>12650</v>
      </c>
      <c r="AU19" s="138">
        <v>0</v>
      </c>
      <c r="AV19" s="141">
        <f>+AT19+AU19</f>
        <v>12650</v>
      </c>
      <c r="AW19" s="135"/>
      <c r="AX19" s="132" t="s">
        <v>31</v>
      </c>
      <c r="AY19" s="137" t="s">
        <v>60</v>
      </c>
      <c r="AZ19" s="141">
        <v>12650</v>
      </c>
      <c r="BA19" s="138">
        <v>0</v>
      </c>
      <c r="BB19" s="141">
        <f>+AZ19+BA19</f>
        <v>12650</v>
      </c>
      <c r="BC19" s="135"/>
      <c r="BD19" s="132" t="s">
        <v>31</v>
      </c>
      <c r="BE19" s="137" t="s">
        <v>216</v>
      </c>
      <c r="BF19" s="141">
        <v>39026</v>
      </c>
      <c r="BG19" s="138">
        <v>0</v>
      </c>
      <c r="BH19" s="141">
        <f>+BF19+BG19</f>
        <v>39026</v>
      </c>
    </row>
    <row r="20" spans="1:60" ht="21">
      <c r="A20" s="135"/>
      <c r="B20" s="132" t="s">
        <v>31</v>
      </c>
      <c r="C20" s="137" t="s">
        <v>59</v>
      </c>
      <c r="D20" s="141">
        <v>178484</v>
      </c>
      <c r="E20" s="138">
        <v>0</v>
      </c>
      <c r="F20" s="141">
        <f>+D20+E20</f>
        <v>178484</v>
      </c>
      <c r="G20" s="135"/>
      <c r="H20" s="132" t="s">
        <v>31</v>
      </c>
      <c r="I20" s="137" t="s">
        <v>59</v>
      </c>
      <c r="J20" s="141">
        <v>200743</v>
      </c>
      <c r="K20" s="138">
        <v>0</v>
      </c>
      <c r="L20" s="141">
        <f>+J20+K20</f>
        <v>200743</v>
      </c>
      <c r="M20" s="135"/>
      <c r="N20" s="132" t="s">
        <v>31</v>
      </c>
      <c r="O20" s="137" t="s">
        <v>59</v>
      </c>
      <c r="P20" s="141">
        <v>153175</v>
      </c>
      <c r="Q20" s="138">
        <v>0</v>
      </c>
      <c r="R20" s="141">
        <f>+P20+Q20</f>
        <v>153175</v>
      </c>
      <c r="S20" s="135"/>
      <c r="T20" s="132" t="s">
        <v>31</v>
      </c>
      <c r="U20" s="137" t="s">
        <v>59</v>
      </c>
      <c r="V20" s="141">
        <v>223412</v>
      </c>
      <c r="W20" s="138">
        <v>0</v>
      </c>
      <c r="X20" s="141">
        <f>+V20+W20</f>
        <v>223412</v>
      </c>
      <c r="Y20" s="135"/>
      <c r="Z20" s="132" t="s">
        <v>31</v>
      </c>
      <c r="AA20" s="137" t="s">
        <v>59</v>
      </c>
      <c r="AB20" s="141">
        <v>185577</v>
      </c>
      <c r="AC20" s="138">
        <v>0</v>
      </c>
      <c r="AD20" s="141">
        <f>+AB20+AC20</f>
        <v>185577</v>
      </c>
      <c r="AE20" s="135"/>
      <c r="AF20" s="132" t="s">
        <v>31</v>
      </c>
      <c r="AG20" s="137" t="s">
        <v>59</v>
      </c>
      <c r="AH20" s="141">
        <v>225677.89</v>
      </c>
      <c r="AI20" s="138">
        <v>0</v>
      </c>
      <c r="AJ20" s="141">
        <f>+AH20+AI20</f>
        <v>225677.89</v>
      </c>
      <c r="AK20" s="135"/>
      <c r="AL20" s="132" t="s">
        <v>31</v>
      </c>
      <c r="AM20" s="137" t="s">
        <v>59</v>
      </c>
      <c r="AN20" s="141">
        <v>176671</v>
      </c>
      <c r="AO20" s="138">
        <v>0</v>
      </c>
      <c r="AP20" s="141">
        <f>+AN20+AO20</f>
        <v>176671</v>
      </c>
      <c r="AQ20" s="135"/>
      <c r="AR20" s="132" t="s">
        <v>31</v>
      </c>
      <c r="AS20" s="137" t="s">
        <v>59</v>
      </c>
      <c r="AT20" s="141">
        <v>397570</v>
      </c>
      <c r="AU20" s="138">
        <v>0</v>
      </c>
      <c r="AV20" s="141">
        <f>+AT20+AU20</f>
        <v>397570</v>
      </c>
      <c r="AW20" s="135"/>
      <c r="AX20" s="132" t="s">
        <v>31</v>
      </c>
      <c r="AY20" s="137" t="s">
        <v>59</v>
      </c>
      <c r="AZ20" s="141">
        <v>170828</v>
      </c>
      <c r="BA20" s="138">
        <v>0</v>
      </c>
      <c r="BB20" s="141">
        <f>+AZ20+BA20</f>
        <v>170828</v>
      </c>
      <c r="BC20" s="135"/>
      <c r="BD20" s="132" t="s">
        <v>31</v>
      </c>
      <c r="BE20" s="137" t="s">
        <v>59</v>
      </c>
      <c r="BF20" s="141">
        <v>3210</v>
      </c>
      <c r="BG20" s="138">
        <v>0</v>
      </c>
      <c r="BH20" s="141">
        <f>+BF20+BG20</f>
        <v>3210</v>
      </c>
    </row>
    <row r="21" spans="1:60" ht="21">
      <c r="A21" s="135"/>
      <c r="B21" s="132" t="s">
        <v>31</v>
      </c>
      <c r="C21" s="137" t="s">
        <v>94</v>
      </c>
      <c r="D21" s="138">
        <v>32833</v>
      </c>
      <c r="E21" s="138">
        <v>0</v>
      </c>
      <c r="F21" s="141">
        <f>+D21+E21</f>
        <v>32833</v>
      </c>
      <c r="G21" s="135"/>
      <c r="H21" s="132" t="s">
        <v>31</v>
      </c>
      <c r="I21" s="137" t="s">
        <v>161</v>
      </c>
      <c r="J21" s="138">
        <v>1177000</v>
      </c>
      <c r="K21" s="138">
        <v>0</v>
      </c>
      <c r="L21" s="141">
        <f>+J21+K21</f>
        <v>1177000</v>
      </c>
      <c r="M21" s="135"/>
      <c r="N21" s="132" t="s">
        <v>31</v>
      </c>
      <c r="O21" s="137" t="s">
        <v>161</v>
      </c>
      <c r="P21" s="138">
        <v>1070000</v>
      </c>
      <c r="Q21" s="138">
        <v>0</v>
      </c>
      <c r="R21" s="141">
        <f>+P21+Q21</f>
        <v>1070000</v>
      </c>
      <c r="S21" s="135"/>
      <c r="T21" s="132" t="s">
        <v>31</v>
      </c>
      <c r="U21" s="137" t="s">
        <v>161</v>
      </c>
      <c r="V21" s="138">
        <v>963000</v>
      </c>
      <c r="W21" s="138">
        <v>0</v>
      </c>
      <c r="X21" s="141">
        <f>+V21+W21</f>
        <v>963000</v>
      </c>
      <c r="Y21" s="135"/>
      <c r="Z21" s="132" t="s">
        <v>31</v>
      </c>
      <c r="AA21" s="137" t="s">
        <v>161</v>
      </c>
      <c r="AB21" s="138">
        <v>856000</v>
      </c>
      <c r="AC21" s="138">
        <v>0</v>
      </c>
      <c r="AD21" s="141">
        <f>+AB21+AC21</f>
        <v>856000</v>
      </c>
      <c r="AE21" s="135"/>
      <c r="AF21" s="132" t="s">
        <v>31</v>
      </c>
      <c r="AG21" s="137" t="s">
        <v>161</v>
      </c>
      <c r="AH21" s="138">
        <v>749000</v>
      </c>
      <c r="AI21" s="138">
        <v>0</v>
      </c>
      <c r="AJ21" s="141">
        <f>+AH21+AI21</f>
        <v>749000</v>
      </c>
      <c r="AK21" s="135"/>
      <c r="AL21" s="132" t="s">
        <v>31</v>
      </c>
      <c r="AM21" s="137" t="s">
        <v>161</v>
      </c>
      <c r="AN21" s="138">
        <v>642000</v>
      </c>
      <c r="AO21" s="138">
        <v>0</v>
      </c>
      <c r="AP21" s="141">
        <f>+AN21+AO21</f>
        <v>642000</v>
      </c>
      <c r="AQ21" s="135"/>
      <c r="AR21" s="132" t="s">
        <v>31</v>
      </c>
      <c r="AS21" s="137" t="s">
        <v>161</v>
      </c>
      <c r="AT21" s="138">
        <v>535000</v>
      </c>
      <c r="AU21" s="138">
        <v>0</v>
      </c>
      <c r="AV21" s="141">
        <f>+AT21+AU21</f>
        <v>535000</v>
      </c>
      <c r="AW21" s="135"/>
      <c r="AX21" s="132" t="s">
        <v>31</v>
      </c>
      <c r="AY21" s="137" t="s">
        <v>161</v>
      </c>
      <c r="AZ21" s="138">
        <v>321000</v>
      </c>
      <c r="BA21" s="138">
        <v>0</v>
      </c>
      <c r="BB21" s="141">
        <f>+AZ21+BA21</f>
        <v>321000</v>
      </c>
      <c r="BC21" s="135"/>
      <c r="BD21" s="132" t="s">
        <v>31</v>
      </c>
      <c r="BE21" s="137" t="s">
        <v>161</v>
      </c>
      <c r="BF21" s="138">
        <v>0</v>
      </c>
      <c r="BG21" s="138">
        <v>0</v>
      </c>
      <c r="BH21" s="141">
        <f>+BF21+BG21</f>
        <v>0</v>
      </c>
    </row>
    <row r="22" spans="1:60" ht="21">
      <c r="A22" s="139"/>
      <c r="B22" s="132" t="s">
        <v>31</v>
      </c>
      <c r="C22" s="137" t="s">
        <v>125</v>
      </c>
      <c r="D22" s="138">
        <v>4550</v>
      </c>
      <c r="E22" s="138">
        <v>0</v>
      </c>
      <c r="F22" s="141">
        <f>+D22+E22</f>
        <v>4550</v>
      </c>
      <c r="G22" s="139"/>
      <c r="H22" s="132"/>
      <c r="I22" s="137"/>
      <c r="J22" s="138"/>
      <c r="K22" s="138"/>
      <c r="L22" s="141"/>
      <c r="M22" s="139"/>
      <c r="N22" s="132"/>
      <c r="O22" s="137"/>
      <c r="P22" s="138"/>
      <c r="Q22" s="138"/>
      <c r="R22" s="141"/>
      <c r="S22" s="139"/>
      <c r="T22" s="132"/>
      <c r="U22" s="137"/>
      <c r="V22" s="138"/>
      <c r="W22" s="138"/>
      <c r="X22" s="141"/>
      <c r="Y22" s="139"/>
      <c r="Z22" s="132"/>
      <c r="AA22" s="137"/>
      <c r="AB22" s="138"/>
      <c r="AC22" s="138"/>
      <c r="AD22" s="141"/>
      <c r="AE22" s="139"/>
      <c r="AF22" s="132"/>
      <c r="AG22" s="137"/>
      <c r="AH22" s="138"/>
      <c r="AI22" s="138"/>
      <c r="AJ22" s="141"/>
      <c r="AK22" s="139"/>
      <c r="AL22" s="132"/>
      <c r="AM22" s="137"/>
      <c r="AN22" s="138"/>
      <c r="AO22" s="138"/>
      <c r="AP22" s="141"/>
      <c r="AQ22" s="139"/>
      <c r="AR22" s="132"/>
      <c r="AS22" s="137"/>
      <c r="AT22" s="138"/>
      <c r="AU22" s="138"/>
      <c r="AV22" s="141"/>
      <c r="AW22" s="139"/>
      <c r="AX22" s="132"/>
      <c r="AY22" s="137"/>
      <c r="AZ22" s="138"/>
      <c r="BA22" s="138"/>
      <c r="BB22" s="141"/>
      <c r="BC22" s="139"/>
      <c r="BD22" s="132"/>
      <c r="BE22" s="137"/>
      <c r="BF22" s="138"/>
      <c r="BG22" s="138"/>
      <c r="BH22" s="141"/>
    </row>
    <row r="23" spans="1:60" ht="21">
      <c r="A23" s="241"/>
      <c r="B23" s="330" t="s">
        <v>7</v>
      </c>
      <c r="C23" s="332"/>
      <c r="D23" s="140">
        <f>SUM(D18:D22)</f>
        <v>270634</v>
      </c>
      <c r="E23" s="140">
        <f>SUM(E18:E22)</f>
        <v>34261.4</v>
      </c>
      <c r="F23" s="140">
        <f>SUM(F18:F22)</f>
        <v>304895.4</v>
      </c>
      <c r="G23" s="241"/>
      <c r="H23" s="330" t="s">
        <v>7</v>
      </c>
      <c r="I23" s="332"/>
      <c r="J23" s="140">
        <f>SUM(J18:J22)</f>
        <v>2590577</v>
      </c>
      <c r="K23" s="140">
        <f>SUM(K18:K22)</f>
        <v>0</v>
      </c>
      <c r="L23" s="140">
        <f>SUM(L18:L22)</f>
        <v>2590577</v>
      </c>
      <c r="M23" s="241"/>
      <c r="N23" s="330" t="s">
        <v>7</v>
      </c>
      <c r="O23" s="332"/>
      <c r="P23" s="140">
        <f>SUM(P18:P22)</f>
        <v>5130964</v>
      </c>
      <c r="Q23" s="140">
        <f>SUM(Q18:Q22)</f>
        <v>0</v>
      </c>
      <c r="R23" s="140">
        <f>SUM(R18:R22)</f>
        <v>5130964</v>
      </c>
      <c r="S23" s="241"/>
      <c r="T23" s="330" t="s">
        <v>7</v>
      </c>
      <c r="U23" s="332"/>
      <c r="V23" s="140">
        <f>SUM(V18:V22)</f>
        <v>5203356</v>
      </c>
      <c r="W23" s="140">
        <f>SUM(W18:W22)</f>
        <v>0</v>
      </c>
      <c r="X23" s="140">
        <f>SUM(X18:X22)</f>
        <v>5203356</v>
      </c>
      <c r="Y23" s="241"/>
      <c r="Z23" s="330" t="s">
        <v>7</v>
      </c>
      <c r="AA23" s="332"/>
      <c r="AB23" s="140">
        <f>SUM(AB18:AB22)</f>
        <v>4693399</v>
      </c>
      <c r="AC23" s="140">
        <f>SUM(AC18:AC22)</f>
        <v>0</v>
      </c>
      <c r="AD23" s="140">
        <f>SUM(AD18:AD22)</f>
        <v>4693399</v>
      </c>
      <c r="AE23" s="241"/>
      <c r="AF23" s="330" t="s">
        <v>7</v>
      </c>
      <c r="AG23" s="332"/>
      <c r="AH23" s="140">
        <f>SUM(AH18:AH22)</f>
        <v>4214364.6899999995</v>
      </c>
      <c r="AI23" s="140">
        <f>SUM(AI18:AI22)</f>
        <v>0</v>
      </c>
      <c r="AJ23" s="140">
        <f>SUM(AJ18:AJ22)</f>
        <v>4214364.6899999995</v>
      </c>
      <c r="AK23" s="241"/>
      <c r="AL23" s="330" t="s">
        <v>7</v>
      </c>
      <c r="AM23" s="332"/>
      <c r="AN23" s="140">
        <f>SUM(AN18:AN22)</f>
        <v>3632982.26</v>
      </c>
      <c r="AO23" s="140">
        <f>SUM(AO18:AO22)</f>
        <v>0</v>
      </c>
      <c r="AP23" s="140">
        <f>SUM(AP18:AP22)</f>
        <v>3632982.26</v>
      </c>
      <c r="AQ23" s="241"/>
      <c r="AR23" s="330" t="s">
        <v>7</v>
      </c>
      <c r="AS23" s="332"/>
      <c r="AT23" s="140">
        <f>SUM(AT18:AT22)</f>
        <v>3505415.52</v>
      </c>
      <c r="AU23" s="140">
        <f>SUM(AU18:AU22)</f>
        <v>0</v>
      </c>
      <c r="AV23" s="140">
        <f>SUM(AV18:AV22)</f>
        <v>3505415.52</v>
      </c>
      <c r="AW23" s="241"/>
      <c r="AX23" s="330" t="s">
        <v>7</v>
      </c>
      <c r="AY23" s="332"/>
      <c r="AZ23" s="140">
        <f>SUM(AZ18:AZ22)</f>
        <v>1906960.9</v>
      </c>
      <c r="BA23" s="140">
        <f>SUM(BA18:BA22)</f>
        <v>0</v>
      </c>
      <c r="BB23" s="140">
        <f>SUM(BB18:BB22)</f>
        <v>1906960.9</v>
      </c>
      <c r="BC23" s="241"/>
      <c r="BD23" s="330" t="s">
        <v>7</v>
      </c>
      <c r="BE23" s="332"/>
      <c r="BF23" s="140">
        <f>SUM(BF18:BF22)</f>
        <v>418428</v>
      </c>
      <c r="BG23" s="140">
        <f>SUM(BG18:BG22)</f>
        <v>0</v>
      </c>
      <c r="BH23" s="140">
        <f>SUM(BH18:BH22)</f>
        <v>418428</v>
      </c>
    </row>
    <row r="24" spans="1:60" ht="21">
      <c r="A24" s="127">
        <v>3</v>
      </c>
      <c r="B24" s="128" t="s">
        <v>5</v>
      </c>
      <c r="C24" s="129"/>
      <c r="D24" s="130"/>
      <c r="E24" s="130"/>
      <c r="F24" s="7"/>
      <c r="G24" s="127">
        <v>3</v>
      </c>
      <c r="H24" s="128" t="s">
        <v>5</v>
      </c>
      <c r="I24" s="129"/>
      <c r="J24" s="130"/>
      <c r="K24" s="130"/>
      <c r="L24" s="7"/>
      <c r="M24" s="127">
        <v>3</v>
      </c>
      <c r="N24" s="128" t="s">
        <v>5</v>
      </c>
      <c r="O24" s="129"/>
      <c r="P24" s="130"/>
      <c r="Q24" s="130"/>
      <c r="R24" s="7"/>
      <c r="S24" s="127">
        <v>3</v>
      </c>
      <c r="T24" s="128" t="s">
        <v>5</v>
      </c>
      <c r="U24" s="129"/>
      <c r="V24" s="130"/>
      <c r="W24" s="130"/>
      <c r="X24" s="7"/>
      <c r="Y24" s="127">
        <v>3</v>
      </c>
      <c r="Z24" s="128" t="s">
        <v>5</v>
      </c>
      <c r="AA24" s="129"/>
      <c r="AB24" s="130"/>
      <c r="AC24" s="130"/>
      <c r="AD24" s="7"/>
      <c r="AE24" s="127">
        <v>3</v>
      </c>
      <c r="AF24" s="128" t="s">
        <v>5</v>
      </c>
      <c r="AG24" s="129"/>
      <c r="AH24" s="130"/>
      <c r="AI24" s="130"/>
      <c r="AJ24" s="7"/>
      <c r="AK24" s="127">
        <v>3</v>
      </c>
      <c r="AL24" s="128" t="s">
        <v>5</v>
      </c>
      <c r="AM24" s="129"/>
      <c r="AN24" s="130"/>
      <c r="AO24" s="130"/>
      <c r="AP24" s="7"/>
      <c r="AQ24" s="127">
        <v>3</v>
      </c>
      <c r="AR24" s="128" t="s">
        <v>5</v>
      </c>
      <c r="AS24" s="129"/>
      <c r="AT24" s="130"/>
      <c r="AU24" s="130"/>
      <c r="AV24" s="7"/>
      <c r="AW24" s="127">
        <v>3</v>
      </c>
      <c r="AX24" s="128" t="s">
        <v>5</v>
      </c>
      <c r="AY24" s="129"/>
      <c r="AZ24" s="130"/>
      <c r="BA24" s="130"/>
      <c r="BB24" s="7"/>
      <c r="BC24" s="127">
        <v>3</v>
      </c>
      <c r="BD24" s="128" t="s">
        <v>5</v>
      </c>
      <c r="BE24" s="129"/>
      <c r="BF24" s="130"/>
      <c r="BG24" s="130"/>
      <c r="BH24" s="7"/>
    </row>
    <row r="25" spans="1:60" ht="21">
      <c r="A25" s="142"/>
      <c r="B25" s="132" t="s">
        <v>31</v>
      </c>
      <c r="C25" s="133" t="s">
        <v>5</v>
      </c>
      <c r="D25" s="134">
        <v>246337.05</v>
      </c>
      <c r="E25" s="134">
        <v>503.28</v>
      </c>
      <c r="F25" s="8">
        <f>+D25+E25</f>
        <v>246840.33</v>
      </c>
      <c r="G25" s="142"/>
      <c r="H25" s="132" t="s">
        <v>31</v>
      </c>
      <c r="I25" s="133" t="s">
        <v>5</v>
      </c>
      <c r="J25" s="134">
        <v>5342013.8</v>
      </c>
      <c r="K25" s="134">
        <v>0</v>
      </c>
      <c r="L25" s="8">
        <f>+J25+K25</f>
        <v>5342013.8</v>
      </c>
      <c r="M25" s="142"/>
      <c r="N25" s="132" t="s">
        <v>31</v>
      </c>
      <c r="O25" s="133" t="s">
        <v>5</v>
      </c>
      <c r="P25" s="134">
        <v>13375256.73</v>
      </c>
      <c r="Q25" s="134">
        <v>0</v>
      </c>
      <c r="R25" s="8">
        <f>+P25+Q25</f>
        <v>13375256.73</v>
      </c>
      <c r="S25" s="142"/>
      <c r="T25" s="132" t="s">
        <v>31</v>
      </c>
      <c r="U25" s="133" t="s">
        <v>170</v>
      </c>
      <c r="V25" s="134">
        <v>12680418.07</v>
      </c>
      <c r="W25" s="134">
        <v>0</v>
      </c>
      <c r="X25" s="8">
        <f>+V25+W25</f>
        <v>12680418.07</v>
      </c>
      <c r="Y25" s="142"/>
      <c r="Z25" s="132" t="s">
        <v>31</v>
      </c>
      <c r="AA25" s="133" t="s">
        <v>170</v>
      </c>
      <c r="AB25" s="134">
        <f>12368029-280800</f>
        <v>12087229</v>
      </c>
      <c r="AC25" s="134">
        <v>0</v>
      </c>
      <c r="AD25" s="8">
        <f>+AB25+AC25</f>
        <v>12087229</v>
      </c>
      <c r="AE25" s="142"/>
      <c r="AF25" s="132" t="s">
        <v>31</v>
      </c>
      <c r="AG25" s="133" t="s">
        <v>170</v>
      </c>
      <c r="AH25" s="134">
        <v>11274568.06</v>
      </c>
      <c r="AI25" s="134">
        <v>0</v>
      </c>
      <c r="AJ25" s="8">
        <f>+AH25+AI25</f>
        <v>11274568.06</v>
      </c>
      <c r="AK25" s="142"/>
      <c r="AL25" s="132" t="s">
        <v>31</v>
      </c>
      <c r="AM25" s="133" t="s">
        <v>170</v>
      </c>
      <c r="AN25" s="134">
        <v>10568037.17</v>
      </c>
      <c r="AO25" s="134">
        <v>0</v>
      </c>
      <c r="AP25" s="8">
        <f>+AN25+AO25</f>
        <v>10568037.17</v>
      </c>
      <c r="AQ25" s="142"/>
      <c r="AR25" s="132" t="s">
        <v>31</v>
      </c>
      <c r="AS25" s="133" t="s">
        <v>170</v>
      </c>
      <c r="AT25" s="134">
        <v>10370790.68</v>
      </c>
      <c r="AU25" s="134">
        <v>0</v>
      </c>
      <c r="AV25" s="8">
        <f>+AT25+AU25</f>
        <v>10370790.68</v>
      </c>
      <c r="AW25" s="142"/>
      <c r="AX25" s="132" t="s">
        <v>31</v>
      </c>
      <c r="AY25" s="133" t="s">
        <v>170</v>
      </c>
      <c r="AZ25" s="134">
        <v>12560410.46</v>
      </c>
      <c r="BA25" s="134">
        <v>0</v>
      </c>
      <c r="BB25" s="8">
        <f>+AZ25+BA25</f>
        <v>12560410.46</v>
      </c>
      <c r="BC25" s="142"/>
      <c r="BD25" s="132" t="s">
        <v>31</v>
      </c>
      <c r="BE25" s="133" t="s">
        <v>170</v>
      </c>
      <c r="BF25" s="134">
        <v>271796.4</v>
      </c>
      <c r="BG25" s="134">
        <v>0</v>
      </c>
      <c r="BH25" s="8">
        <f>+BF25+BG25</f>
        <v>271796.4</v>
      </c>
    </row>
    <row r="26" spans="1:60" ht="21">
      <c r="A26" s="142"/>
      <c r="B26" s="132"/>
      <c r="C26" s="133"/>
      <c r="D26" s="134"/>
      <c r="E26" s="134"/>
      <c r="F26" s="8"/>
      <c r="G26" s="142"/>
      <c r="H26" s="132"/>
      <c r="I26" s="133"/>
      <c r="J26" s="134"/>
      <c r="K26" s="134"/>
      <c r="L26" s="8"/>
      <c r="M26" s="142"/>
      <c r="N26" s="132"/>
      <c r="O26" s="133"/>
      <c r="P26" s="134"/>
      <c r="Q26" s="134"/>
      <c r="R26" s="8"/>
      <c r="S26" s="142"/>
      <c r="T26" s="132" t="s">
        <v>31</v>
      </c>
      <c r="U26" s="133" t="s">
        <v>171</v>
      </c>
      <c r="V26" s="134">
        <v>280800</v>
      </c>
      <c r="W26" s="134">
        <v>0</v>
      </c>
      <c r="X26" s="8">
        <f>+V26+W26</f>
        <v>280800</v>
      </c>
      <c r="Y26" s="142"/>
      <c r="Z26" s="132" t="s">
        <v>31</v>
      </c>
      <c r="AA26" s="133" t="s">
        <v>171</v>
      </c>
      <c r="AB26" s="134">
        <v>280800</v>
      </c>
      <c r="AC26" s="134">
        <v>0</v>
      </c>
      <c r="AD26" s="8">
        <f>+AB26+AC26</f>
        <v>280800</v>
      </c>
      <c r="AE26" s="142"/>
      <c r="AF26" s="132" t="s">
        <v>31</v>
      </c>
      <c r="AG26" s="133" t="s">
        <v>171</v>
      </c>
      <c r="AH26" s="134">
        <v>0</v>
      </c>
      <c r="AI26" s="134">
        <v>0</v>
      </c>
      <c r="AJ26" s="8">
        <f>+AH26+AI26</f>
        <v>0</v>
      </c>
      <c r="AK26" s="142"/>
      <c r="AL26" s="132" t="s">
        <v>31</v>
      </c>
      <c r="AM26" s="133" t="s">
        <v>171</v>
      </c>
      <c r="AN26" s="134">
        <v>0</v>
      </c>
      <c r="AO26" s="134">
        <v>0</v>
      </c>
      <c r="AP26" s="8">
        <f>+AN26+AO26</f>
        <v>0</v>
      </c>
      <c r="AQ26" s="142"/>
      <c r="AR26" s="132" t="s">
        <v>31</v>
      </c>
      <c r="AS26" s="133" t="s">
        <v>171</v>
      </c>
      <c r="AT26" s="134">
        <v>0</v>
      </c>
      <c r="AU26" s="134">
        <v>0</v>
      </c>
      <c r="AV26" s="8">
        <f>+AT26+AU26</f>
        <v>0</v>
      </c>
      <c r="AW26" s="142"/>
      <c r="AX26" s="132" t="s">
        <v>31</v>
      </c>
      <c r="AY26" s="133" t="s">
        <v>171</v>
      </c>
      <c r="AZ26" s="134">
        <v>0</v>
      </c>
      <c r="BA26" s="134">
        <v>0</v>
      </c>
      <c r="BB26" s="8">
        <f>+AZ26+BA26</f>
        <v>0</v>
      </c>
      <c r="BC26" s="142"/>
      <c r="BD26" s="132" t="s">
        <v>31</v>
      </c>
      <c r="BE26" s="133" t="s">
        <v>171</v>
      </c>
      <c r="BF26" s="134">
        <v>0</v>
      </c>
      <c r="BG26" s="134">
        <v>0</v>
      </c>
      <c r="BH26" s="8">
        <f>+BF26+BG26</f>
        <v>0</v>
      </c>
    </row>
    <row r="27" spans="1:60" ht="21">
      <c r="A27" s="142"/>
      <c r="B27" s="132" t="s">
        <v>31</v>
      </c>
      <c r="C27" s="133" t="s">
        <v>61</v>
      </c>
      <c r="D27" s="134">
        <v>0</v>
      </c>
      <c r="E27" s="134">
        <v>4090</v>
      </c>
      <c r="F27" s="8">
        <f>+D27+E27</f>
        <v>4090</v>
      </c>
      <c r="G27" s="142"/>
      <c r="H27" s="132" t="s">
        <v>31</v>
      </c>
      <c r="I27" s="133" t="s">
        <v>61</v>
      </c>
      <c r="J27" s="134">
        <v>456761.86</v>
      </c>
      <c r="K27" s="134">
        <v>0</v>
      </c>
      <c r="L27" s="8">
        <f>+J27+K27</f>
        <v>456761.86</v>
      </c>
      <c r="M27" s="142"/>
      <c r="N27" s="132" t="s">
        <v>31</v>
      </c>
      <c r="O27" s="133" t="s">
        <v>61</v>
      </c>
      <c r="P27" s="134">
        <v>205549.4</v>
      </c>
      <c r="Q27" s="134">
        <v>0</v>
      </c>
      <c r="R27" s="8">
        <f>+P27+Q27</f>
        <v>205549.4</v>
      </c>
      <c r="S27" s="142"/>
      <c r="T27" s="132" t="s">
        <v>31</v>
      </c>
      <c r="U27" s="133" t="s">
        <v>61</v>
      </c>
      <c r="V27" s="134">
        <v>198533.2</v>
      </c>
      <c r="W27" s="134">
        <v>0</v>
      </c>
      <c r="X27" s="8">
        <f>+V27+W27</f>
        <v>198533.2</v>
      </c>
      <c r="Y27" s="142"/>
      <c r="Z27" s="132" t="s">
        <v>31</v>
      </c>
      <c r="AA27" s="133" t="s">
        <v>61</v>
      </c>
      <c r="AB27" s="134">
        <v>149149.2</v>
      </c>
      <c r="AC27" s="134">
        <v>0</v>
      </c>
      <c r="AD27" s="8">
        <f>+AB27+AC27</f>
        <v>149149.2</v>
      </c>
      <c r="AE27" s="142"/>
      <c r="AF27" s="132" t="s">
        <v>31</v>
      </c>
      <c r="AG27" s="133" t="s">
        <v>61</v>
      </c>
      <c r="AH27" s="134">
        <v>126834.2</v>
      </c>
      <c r="AI27" s="134">
        <v>0</v>
      </c>
      <c r="AJ27" s="8">
        <f>+AH27+AI27</f>
        <v>126834.2</v>
      </c>
      <c r="AK27" s="142"/>
      <c r="AL27" s="132" t="s">
        <v>31</v>
      </c>
      <c r="AM27" s="133" t="s">
        <v>61</v>
      </c>
      <c r="AN27" s="134">
        <v>239076.8</v>
      </c>
      <c r="AO27" s="134">
        <v>0</v>
      </c>
      <c r="AP27" s="8">
        <f>+AN27+AO27</f>
        <v>239076.8</v>
      </c>
      <c r="AQ27" s="142"/>
      <c r="AR27" s="132" t="s">
        <v>31</v>
      </c>
      <c r="AS27" s="133" t="s">
        <v>61</v>
      </c>
      <c r="AT27" s="134">
        <v>483946.4</v>
      </c>
      <c r="AU27" s="134">
        <v>0</v>
      </c>
      <c r="AV27" s="8">
        <f>+AT27+AU27</f>
        <v>483946.4</v>
      </c>
      <c r="AW27" s="142"/>
      <c r="AX27" s="132" t="s">
        <v>31</v>
      </c>
      <c r="AY27" s="133" t="s">
        <v>61</v>
      </c>
      <c r="AZ27" s="134">
        <v>60760</v>
      </c>
      <c r="BA27" s="134">
        <v>0</v>
      </c>
      <c r="BB27" s="8">
        <f>+AZ27+BA27</f>
        <v>60760</v>
      </c>
      <c r="BC27" s="142"/>
      <c r="BD27" s="132" t="s">
        <v>31</v>
      </c>
      <c r="BE27" s="133" t="s">
        <v>61</v>
      </c>
      <c r="BF27" s="134">
        <v>27770.68</v>
      </c>
      <c r="BG27" s="134">
        <v>0</v>
      </c>
      <c r="BH27" s="8">
        <f>+BF27+BG27</f>
        <v>27770.68</v>
      </c>
    </row>
    <row r="28" spans="1:60" ht="21">
      <c r="A28" s="148"/>
      <c r="B28" s="132" t="s">
        <v>31</v>
      </c>
      <c r="C28" s="133" t="s">
        <v>69</v>
      </c>
      <c r="D28" s="134">
        <v>0</v>
      </c>
      <c r="E28" s="134">
        <v>0</v>
      </c>
      <c r="F28" s="8">
        <f>+D28+E28</f>
        <v>0</v>
      </c>
      <c r="G28" s="148"/>
      <c r="H28" s="132" t="s">
        <v>31</v>
      </c>
      <c r="I28" s="133" t="s">
        <v>69</v>
      </c>
      <c r="J28" s="134">
        <v>0</v>
      </c>
      <c r="K28" s="134">
        <v>0</v>
      </c>
      <c r="L28" s="8">
        <f>+J28+K28</f>
        <v>0</v>
      </c>
      <c r="M28" s="148"/>
      <c r="N28" s="132" t="s">
        <v>31</v>
      </c>
      <c r="O28" s="133" t="s">
        <v>69</v>
      </c>
      <c r="P28" s="134">
        <v>0</v>
      </c>
      <c r="Q28" s="134">
        <v>0</v>
      </c>
      <c r="R28" s="8">
        <f>+P28+Q28</f>
        <v>0</v>
      </c>
      <c r="S28" s="148"/>
      <c r="T28" s="132" t="s">
        <v>31</v>
      </c>
      <c r="U28" s="133" t="s">
        <v>69</v>
      </c>
      <c r="V28" s="134">
        <v>0</v>
      </c>
      <c r="W28" s="134">
        <v>0</v>
      </c>
      <c r="X28" s="8">
        <f>+V28+W28</f>
        <v>0</v>
      </c>
      <c r="Y28" s="148"/>
      <c r="Z28" s="132" t="s">
        <v>31</v>
      </c>
      <c r="AA28" s="133" t="s">
        <v>69</v>
      </c>
      <c r="AB28" s="134">
        <v>0</v>
      </c>
      <c r="AC28" s="134">
        <v>0</v>
      </c>
      <c r="AD28" s="8">
        <f>+AB28+AC28</f>
        <v>0</v>
      </c>
      <c r="AE28" s="148"/>
      <c r="AF28" s="132" t="s">
        <v>31</v>
      </c>
      <c r="AG28" s="133" t="s">
        <v>69</v>
      </c>
      <c r="AH28" s="134">
        <v>0</v>
      </c>
      <c r="AI28" s="134">
        <v>0</v>
      </c>
      <c r="AJ28" s="8">
        <f>+AH28+AI28</f>
        <v>0</v>
      </c>
      <c r="AK28" s="148"/>
      <c r="AL28" s="132" t="s">
        <v>31</v>
      </c>
      <c r="AM28" s="133" t="s">
        <v>69</v>
      </c>
      <c r="AN28" s="134">
        <v>11200</v>
      </c>
      <c r="AO28" s="134">
        <v>0</v>
      </c>
      <c r="AP28" s="8">
        <f>+AN28+AO28</f>
        <v>11200</v>
      </c>
      <c r="AQ28" s="148"/>
      <c r="AR28" s="132" t="s">
        <v>31</v>
      </c>
      <c r="AS28" s="133" t="s">
        <v>69</v>
      </c>
      <c r="AT28" s="134">
        <v>6500</v>
      </c>
      <c r="AU28" s="134">
        <v>0</v>
      </c>
      <c r="AV28" s="8">
        <f>+AT28+AU28</f>
        <v>6500</v>
      </c>
      <c r="AW28" s="148"/>
      <c r="AX28" s="132" t="s">
        <v>31</v>
      </c>
      <c r="AY28" s="133" t="s">
        <v>69</v>
      </c>
      <c r="AZ28" s="134">
        <v>0</v>
      </c>
      <c r="BA28" s="134">
        <v>0</v>
      </c>
      <c r="BB28" s="8">
        <f>+AZ28+BA28</f>
        <v>0</v>
      </c>
      <c r="BC28" s="148"/>
      <c r="BD28" s="132" t="s">
        <v>31</v>
      </c>
      <c r="BE28" s="133" t="s">
        <v>69</v>
      </c>
      <c r="BF28" s="134">
        <v>0</v>
      </c>
      <c r="BG28" s="134">
        <v>0</v>
      </c>
      <c r="BH28" s="8">
        <f>+BF28+BG28</f>
        <v>0</v>
      </c>
    </row>
    <row r="29" spans="1:60" ht="21">
      <c r="A29" s="241"/>
      <c r="B29" s="330" t="s">
        <v>7</v>
      </c>
      <c r="C29" s="332"/>
      <c r="D29" s="140">
        <f>SUM(D25:D28)</f>
        <v>246337.05</v>
      </c>
      <c r="E29" s="140">
        <f>SUM(E25:E28)</f>
        <v>4593.28</v>
      </c>
      <c r="F29" s="140">
        <f>SUM(F25:F28)</f>
        <v>250930.33</v>
      </c>
      <c r="G29" s="241"/>
      <c r="H29" s="330" t="s">
        <v>7</v>
      </c>
      <c r="I29" s="332"/>
      <c r="J29" s="140">
        <f>SUM(J25:J28)</f>
        <v>5798775.66</v>
      </c>
      <c r="K29" s="140">
        <f>SUM(K25:K28)</f>
        <v>0</v>
      </c>
      <c r="L29" s="140">
        <f>SUM(L25:L28)</f>
        <v>5798775.66</v>
      </c>
      <c r="M29" s="241"/>
      <c r="N29" s="330" t="s">
        <v>7</v>
      </c>
      <c r="O29" s="332"/>
      <c r="P29" s="140">
        <f>SUM(P25:P28)</f>
        <v>13580806.13</v>
      </c>
      <c r="Q29" s="140">
        <f>SUM(Q25:Q28)</f>
        <v>0</v>
      </c>
      <c r="R29" s="140">
        <f>SUM(R25:R28)</f>
        <v>13580806.13</v>
      </c>
      <c r="S29" s="241"/>
      <c r="T29" s="330" t="s">
        <v>7</v>
      </c>
      <c r="U29" s="332"/>
      <c r="V29" s="140">
        <f>SUM(V25:V28)</f>
        <v>13159751.27</v>
      </c>
      <c r="W29" s="140">
        <f>SUM(W25:W28)</f>
        <v>0</v>
      </c>
      <c r="X29" s="140">
        <f>SUM(X25:X28)</f>
        <v>13159751.27</v>
      </c>
      <c r="Y29" s="241"/>
      <c r="Z29" s="330" t="s">
        <v>7</v>
      </c>
      <c r="AA29" s="332"/>
      <c r="AB29" s="140">
        <f>SUM(AB25:AB28)</f>
        <v>12517178.2</v>
      </c>
      <c r="AC29" s="140">
        <f>SUM(AC25:AC28)</f>
        <v>0</v>
      </c>
      <c r="AD29" s="140">
        <f>SUM(AD25:AD28)</f>
        <v>12517178.2</v>
      </c>
      <c r="AE29" s="241"/>
      <c r="AF29" s="330" t="s">
        <v>7</v>
      </c>
      <c r="AG29" s="332"/>
      <c r="AH29" s="140">
        <f>SUM(AH25:AH28)</f>
        <v>11401402.26</v>
      </c>
      <c r="AI29" s="140">
        <f>SUM(AI25:AI28)</f>
        <v>0</v>
      </c>
      <c r="AJ29" s="140">
        <f>SUM(AJ25:AJ28)</f>
        <v>11401402.26</v>
      </c>
      <c r="AK29" s="241"/>
      <c r="AL29" s="330" t="s">
        <v>7</v>
      </c>
      <c r="AM29" s="332"/>
      <c r="AN29" s="140">
        <f>SUM(AN25:AN28)</f>
        <v>10818313.97</v>
      </c>
      <c r="AO29" s="140">
        <f>SUM(AO25:AO28)</f>
        <v>0</v>
      </c>
      <c r="AP29" s="140">
        <f>SUM(AP25:AP28)</f>
        <v>10818313.97</v>
      </c>
      <c r="AQ29" s="241"/>
      <c r="AR29" s="330" t="s">
        <v>7</v>
      </c>
      <c r="AS29" s="332"/>
      <c r="AT29" s="140">
        <f>SUM(AT25:AT28)</f>
        <v>10861237.08</v>
      </c>
      <c r="AU29" s="140">
        <f>SUM(AU25:AU28)</f>
        <v>0</v>
      </c>
      <c r="AV29" s="140">
        <f>SUM(AV25:AV28)</f>
        <v>10861237.08</v>
      </c>
      <c r="AW29" s="241"/>
      <c r="AX29" s="330" t="s">
        <v>7</v>
      </c>
      <c r="AY29" s="332"/>
      <c r="AZ29" s="140">
        <f>SUM(AZ25:AZ28)</f>
        <v>12621170.46</v>
      </c>
      <c r="BA29" s="140">
        <f>SUM(BA25:BA28)</f>
        <v>0</v>
      </c>
      <c r="BB29" s="140">
        <f>SUM(BB25:BB28)</f>
        <v>12621170.46</v>
      </c>
      <c r="BC29" s="241"/>
      <c r="BD29" s="330" t="s">
        <v>7</v>
      </c>
      <c r="BE29" s="332"/>
      <c r="BF29" s="140">
        <f>SUM(BF25:BF28)</f>
        <v>299567.08</v>
      </c>
      <c r="BG29" s="140">
        <f>SUM(BG25:BG28)</f>
        <v>0</v>
      </c>
      <c r="BH29" s="140">
        <f>SUM(BH25:BH28)</f>
        <v>299567.08</v>
      </c>
    </row>
    <row r="30" spans="1:60" ht="21">
      <c r="A30" s="214">
        <v>4</v>
      </c>
      <c r="B30" s="144" t="s">
        <v>14</v>
      </c>
      <c r="C30" s="215"/>
      <c r="D30" s="216">
        <v>0</v>
      </c>
      <c r="E30" s="216">
        <v>0</v>
      </c>
      <c r="F30" s="140">
        <f>+E30+D30</f>
        <v>0</v>
      </c>
      <c r="G30" s="214">
        <v>4</v>
      </c>
      <c r="H30" s="144" t="s">
        <v>162</v>
      </c>
      <c r="I30" s="215"/>
      <c r="J30" s="216">
        <v>192600</v>
      </c>
      <c r="K30" s="216">
        <v>34261.4</v>
      </c>
      <c r="L30" s="140">
        <f>+K30+J30</f>
        <v>226861.4</v>
      </c>
      <c r="M30" s="214">
        <v>4</v>
      </c>
      <c r="N30" s="144" t="s">
        <v>162</v>
      </c>
      <c r="O30" s="215"/>
      <c r="P30" s="216">
        <v>176550</v>
      </c>
      <c r="Q30" s="216">
        <v>34261.4</v>
      </c>
      <c r="R30" s="140">
        <f>+Q30+P30</f>
        <v>210811.4</v>
      </c>
      <c r="S30" s="214">
        <v>4</v>
      </c>
      <c r="T30" s="144" t="s">
        <v>162</v>
      </c>
      <c r="U30" s="215"/>
      <c r="V30" s="216">
        <v>144450</v>
      </c>
      <c r="W30" s="216">
        <v>0</v>
      </c>
      <c r="X30" s="140">
        <f>+W30+V30</f>
        <v>144450</v>
      </c>
      <c r="Y30" s="214">
        <v>4</v>
      </c>
      <c r="Z30" s="144" t="s">
        <v>162</v>
      </c>
      <c r="AA30" s="215"/>
      <c r="AB30" s="216">
        <v>144450</v>
      </c>
      <c r="AC30" s="216">
        <v>0</v>
      </c>
      <c r="AD30" s="140">
        <f>+AC30+AB30</f>
        <v>144450</v>
      </c>
      <c r="AE30" s="214">
        <v>4</v>
      </c>
      <c r="AF30" s="144" t="s">
        <v>162</v>
      </c>
      <c r="AG30" s="215"/>
      <c r="AH30" s="216">
        <v>112350</v>
      </c>
      <c r="AI30" s="216">
        <v>0</v>
      </c>
      <c r="AJ30" s="140">
        <f>+AI30+AH30</f>
        <v>112350</v>
      </c>
      <c r="AK30" s="214">
        <v>4</v>
      </c>
      <c r="AL30" s="144" t="s">
        <v>162</v>
      </c>
      <c r="AM30" s="215"/>
      <c r="AN30" s="216">
        <v>96300</v>
      </c>
      <c r="AO30" s="216">
        <v>0</v>
      </c>
      <c r="AP30" s="140">
        <f>+AO30+AN30</f>
        <v>96300</v>
      </c>
      <c r="AQ30" s="214">
        <v>4</v>
      </c>
      <c r="AR30" s="144" t="s">
        <v>162</v>
      </c>
      <c r="AS30" s="215"/>
      <c r="AT30" s="216">
        <v>96300</v>
      </c>
      <c r="AU30" s="216">
        <v>0</v>
      </c>
      <c r="AV30" s="140">
        <f>+AU30+AT30</f>
        <v>96300</v>
      </c>
      <c r="AW30" s="214">
        <v>4</v>
      </c>
      <c r="AX30" s="144" t="s">
        <v>162</v>
      </c>
      <c r="AY30" s="215"/>
      <c r="AZ30" s="216">
        <v>64200</v>
      </c>
      <c r="BA30" s="216">
        <v>0</v>
      </c>
      <c r="BB30" s="140">
        <f>+BA30+AZ30</f>
        <v>64200</v>
      </c>
      <c r="BC30" s="214">
        <v>4</v>
      </c>
      <c r="BD30" s="144" t="s">
        <v>162</v>
      </c>
      <c r="BE30" s="215"/>
      <c r="BF30" s="216">
        <v>16050</v>
      </c>
      <c r="BG30" s="216">
        <v>0</v>
      </c>
      <c r="BH30" s="140">
        <f>+BG30+BF30</f>
        <v>16050</v>
      </c>
    </row>
    <row r="31" spans="1:60" ht="21">
      <c r="A31" s="143">
        <v>5</v>
      </c>
      <c r="B31" s="144" t="s">
        <v>6</v>
      </c>
      <c r="C31" s="145"/>
      <c r="D31" s="146">
        <v>596900</v>
      </c>
      <c r="E31" s="146">
        <v>858000</v>
      </c>
      <c r="F31" s="147">
        <f>+D31+E31</f>
        <v>1454900</v>
      </c>
      <c r="G31" s="143">
        <v>5</v>
      </c>
      <c r="H31" s="144" t="s">
        <v>6</v>
      </c>
      <c r="I31" s="145"/>
      <c r="J31" s="146">
        <v>486500</v>
      </c>
      <c r="K31" s="146">
        <v>0</v>
      </c>
      <c r="L31" s="147">
        <f>+J31+K31</f>
        <v>486500</v>
      </c>
      <c r="M31" s="143">
        <v>5</v>
      </c>
      <c r="N31" s="144" t="s">
        <v>6</v>
      </c>
      <c r="O31" s="145"/>
      <c r="P31" s="146">
        <v>124027.3</v>
      </c>
      <c r="Q31" s="146">
        <v>0</v>
      </c>
      <c r="R31" s="147">
        <f>+P31+Q31</f>
        <v>124027.3</v>
      </c>
      <c r="S31" s="143">
        <v>5</v>
      </c>
      <c r="T31" s="144" t="s">
        <v>6</v>
      </c>
      <c r="U31" s="145"/>
      <c r="V31" s="146">
        <v>173820</v>
      </c>
      <c r="W31" s="146">
        <v>0</v>
      </c>
      <c r="X31" s="147">
        <f>+V31+W31</f>
        <v>173820</v>
      </c>
      <c r="Y31" s="143">
        <v>5</v>
      </c>
      <c r="Z31" s="144" t="s">
        <v>6</v>
      </c>
      <c r="AA31" s="145"/>
      <c r="AB31" s="146">
        <v>49580</v>
      </c>
      <c r="AC31" s="146">
        <v>0</v>
      </c>
      <c r="AD31" s="147">
        <f>+AB31+AC31</f>
        <v>49580</v>
      </c>
      <c r="AE31" s="143">
        <v>5</v>
      </c>
      <c r="AF31" s="144" t="s">
        <v>6</v>
      </c>
      <c r="AG31" s="145"/>
      <c r="AH31" s="146">
        <v>360000</v>
      </c>
      <c r="AI31" s="146">
        <v>0</v>
      </c>
      <c r="AJ31" s="147">
        <f>+AH31+AI31</f>
        <v>360000</v>
      </c>
      <c r="AK31" s="143">
        <v>5</v>
      </c>
      <c r="AL31" s="144" t="s">
        <v>6</v>
      </c>
      <c r="AM31" s="145"/>
      <c r="AN31" s="146">
        <v>141820</v>
      </c>
      <c r="AO31" s="146">
        <v>0</v>
      </c>
      <c r="AP31" s="147">
        <f>+AN31+AO31</f>
        <v>141820</v>
      </c>
      <c r="AQ31" s="143">
        <v>5</v>
      </c>
      <c r="AR31" s="144" t="s">
        <v>6</v>
      </c>
      <c r="AS31" s="145"/>
      <c r="AT31" s="146">
        <v>131450</v>
      </c>
      <c r="AU31" s="146">
        <v>0</v>
      </c>
      <c r="AV31" s="147">
        <f>+AT31+AU31</f>
        <v>131450</v>
      </c>
      <c r="AW31" s="143">
        <v>5</v>
      </c>
      <c r="AX31" s="144" t="s">
        <v>6</v>
      </c>
      <c r="AY31" s="145"/>
      <c r="AZ31" s="146">
        <v>5000</v>
      </c>
      <c r="BA31" s="146">
        <v>0</v>
      </c>
      <c r="BB31" s="147">
        <f>+AZ31+BA31</f>
        <v>5000</v>
      </c>
      <c r="BC31" s="143">
        <v>5</v>
      </c>
      <c r="BD31" s="144" t="s">
        <v>6</v>
      </c>
      <c r="BE31" s="145"/>
      <c r="BF31" s="146">
        <v>3107650</v>
      </c>
      <c r="BG31" s="146">
        <v>0</v>
      </c>
      <c r="BH31" s="147">
        <f>+BF31+BG31</f>
        <v>3107650</v>
      </c>
    </row>
    <row r="32" spans="1:60" ht="21">
      <c r="A32" s="143">
        <v>6</v>
      </c>
      <c r="B32" s="149" t="s">
        <v>57</v>
      </c>
      <c r="C32" s="145"/>
      <c r="D32" s="146">
        <v>1795400</v>
      </c>
      <c r="E32" s="146">
        <v>0</v>
      </c>
      <c r="F32" s="147">
        <f>+D32+E32</f>
        <v>1795400</v>
      </c>
      <c r="G32" s="143">
        <v>6</v>
      </c>
      <c r="H32" s="149" t="s">
        <v>57</v>
      </c>
      <c r="I32" s="145"/>
      <c r="J32" s="146">
        <v>490000</v>
      </c>
      <c r="K32" s="146">
        <v>0</v>
      </c>
      <c r="L32" s="147">
        <f>+J32+K32</f>
        <v>490000</v>
      </c>
      <c r="M32" s="143">
        <v>6</v>
      </c>
      <c r="N32" s="149" t="s">
        <v>57</v>
      </c>
      <c r="O32" s="145"/>
      <c r="P32" s="146"/>
      <c r="Q32" s="146">
        <v>0</v>
      </c>
      <c r="R32" s="147">
        <f>+P32+Q32</f>
        <v>0</v>
      </c>
      <c r="S32" s="143">
        <v>6</v>
      </c>
      <c r="T32" s="149" t="s">
        <v>57</v>
      </c>
      <c r="U32" s="145"/>
      <c r="V32" s="146"/>
      <c r="W32" s="146">
        <v>0</v>
      </c>
      <c r="X32" s="147">
        <f>+V32+W32</f>
        <v>0</v>
      </c>
      <c r="Y32" s="143">
        <v>6</v>
      </c>
      <c r="Z32" s="149" t="s">
        <v>57</v>
      </c>
      <c r="AA32" s="145"/>
      <c r="AB32" s="146"/>
      <c r="AC32" s="146">
        <v>0</v>
      </c>
      <c r="AD32" s="147">
        <f>+AB32+AC32</f>
        <v>0</v>
      </c>
      <c r="AE32" s="143">
        <v>6</v>
      </c>
      <c r="AF32" s="149" t="s">
        <v>57</v>
      </c>
      <c r="AG32" s="145"/>
      <c r="AH32" s="146"/>
      <c r="AI32" s="146">
        <v>0</v>
      </c>
      <c r="AJ32" s="147">
        <f>+AH32+AI32</f>
        <v>0</v>
      </c>
      <c r="AK32" s="143">
        <v>6</v>
      </c>
      <c r="AL32" s="149" t="s">
        <v>57</v>
      </c>
      <c r="AM32" s="145"/>
      <c r="AN32" s="146">
        <v>12319500</v>
      </c>
      <c r="AO32" s="146">
        <v>0</v>
      </c>
      <c r="AP32" s="147">
        <f>+AN32+AO32</f>
        <v>12319500</v>
      </c>
      <c r="AQ32" s="143">
        <v>6</v>
      </c>
      <c r="AR32" s="149" t="s">
        <v>57</v>
      </c>
      <c r="AS32" s="145"/>
      <c r="AT32" s="146">
        <v>13382300</v>
      </c>
      <c r="AU32" s="146">
        <v>0</v>
      </c>
      <c r="AV32" s="147">
        <f>+AT32+AU32</f>
        <v>13382300</v>
      </c>
      <c r="AW32" s="143">
        <v>6</v>
      </c>
      <c r="AX32" s="149" t="s">
        <v>57</v>
      </c>
      <c r="AY32" s="145"/>
      <c r="AZ32" s="146">
        <v>13319500</v>
      </c>
      <c r="BA32" s="146">
        <v>0</v>
      </c>
      <c r="BB32" s="147">
        <f>+AZ32+BA32</f>
        <v>13319500</v>
      </c>
      <c r="BC32" s="143">
        <v>6</v>
      </c>
      <c r="BD32" s="149" t="s">
        <v>57</v>
      </c>
      <c r="BE32" s="145"/>
      <c r="BF32" s="146">
        <v>16904865.61</v>
      </c>
      <c r="BG32" s="146">
        <v>0</v>
      </c>
      <c r="BH32" s="147">
        <f>+BF32+BG32</f>
        <v>16904865.61</v>
      </c>
    </row>
    <row r="33" spans="1:60" ht="16.5" customHeight="1">
      <c r="A33" s="142"/>
      <c r="B33" s="150"/>
      <c r="C33" s="151"/>
      <c r="D33" s="152"/>
      <c r="E33" s="152"/>
      <c r="F33" s="153"/>
      <c r="G33" s="142"/>
      <c r="H33" s="150"/>
      <c r="I33" s="151"/>
      <c r="J33" s="152"/>
      <c r="K33" s="152"/>
      <c r="L33" s="153"/>
      <c r="M33" s="142"/>
      <c r="N33" s="150"/>
      <c r="O33" s="151"/>
      <c r="P33" s="152"/>
      <c r="Q33" s="152"/>
      <c r="R33" s="153"/>
      <c r="S33" s="142"/>
      <c r="T33" s="150"/>
      <c r="U33" s="151"/>
      <c r="V33" s="152"/>
      <c r="W33" s="152"/>
      <c r="X33" s="153"/>
      <c r="Y33" s="142"/>
      <c r="Z33" s="150"/>
      <c r="AA33" s="151"/>
      <c r="AB33" s="152"/>
      <c r="AC33" s="152"/>
      <c r="AD33" s="153"/>
      <c r="AE33" s="142"/>
      <c r="AF33" s="150"/>
      <c r="AG33" s="151"/>
      <c r="AH33" s="152"/>
      <c r="AI33" s="152"/>
      <c r="AJ33" s="153"/>
      <c r="AK33" s="142"/>
      <c r="AL33" s="150"/>
      <c r="AM33" s="151"/>
      <c r="AN33" s="152"/>
      <c r="AO33" s="152"/>
      <c r="AP33" s="153"/>
      <c r="AQ33" s="142"/>
      <c r="AR33" s="150"/>
      <c r="AS33" s="151"/>
      <c r="AT33" s="152"/>
      <c r="AU33" s="152"/>
      <c r="AV33" s="153"/>
      <c r="AW33" s="142"/>
      <c r="AX33" s="150"/>
      <c r="AY33" s="151"/>
      <c r="AZ33" s="152"/>
      <c r="BA33" s="152"/>
      <c r="BB33" s="153"/>
      <c r="BC33" s="142"/>
      <c r="BD33" s="150"/>
      <c r="BE33" s="151"/>
      <c r="BF33" s="152"/>
      <c r="BG33" s="152"/>
      <c r="BH33" s="153"/>
    </row>
    <row r="34" spans="1:60" ht="21">
      <c r="A34" s="330" t="s">
        <v>29</v>
      </c>
      <c r="B34" s="331"/>
      <c r="C34" s="332"/>
      <c r="D34" s="140">
        <f>D16+D23+D29+D31+D32</f>
        <v>2916471.05</v>
      </c>
      <c r="E34" s="140">
        <f>E16+E23+E29+E31+E32+E30</f>
        <v>896854.68</v>
      </c>
      <c r="F34" s="140">
        <f>F16+F23+F29+F31+F32+F30</f>
        <v>3813325.73</v>
      </c>
      <c r="G34" s="330" t="s">
        <v>29</v>
      </c>
      <c r="H34" s="331"/>
      <c r="I34" s="332"/>
      <c r="J34" s="140">
        <f>J16+J23+J29+J31+J32+J30</f>
        <v>9558452.66</v>
      </c>
      <c r="K34" s="140">
        <f>K16+K23+K29+K31+K32+K30</f>
        <v>34261.4</v>
      </c>
      <c r="L34" s="140">
        <f>L16+L23+L29+L31+L32+L30</f>
        <v>9592714.06</v>
      </c>
      <c r="M34" s="330" t="s">
        <v>29</v>
      </c>
      <c r="N34" s="331"/>
      <c r="O34" s="332"/>
      <c r="P34" s="140">
        <f>P16+P23+P29+P31+P32+P30</f>
        <v>19012347.430000003</v>
      </c>
      <c r="Q34" s="140">
        <f>Q16+Q23+Q29+Q31+Q32+Q30</f>
        <v>34261.4</v>
      </c>
      <c r="R34" s="140">
        <f>R16+R23+R29+R31+R32+R30</f>
        <v>19046608.830000002</v>
      </c>
      <c r="S34" s="330" t="s">
        <v>29</v>
      </c>
      <c r="T34" s="331"/>
      <c r="U34" s="332"/>
      <c r="V34" s="140">
        <f>V16+V23+V29+V31+V32+V30</f>
        <v>18681377.27</v>
      </c>
      <c r="W34" s="140">
        <f>W16+W23+W29+W31+W32+W30</f>
        <v>0</v>
      </c>
      <c r="X34" s="140">
        <f>X16+X23+X29+X31+X32+X30</f>
        <v>18681377.27</v>
      </c>
      <c r="Y34" s="330" t="s">
        <v>29</v>
      </c>
      <c r="Z34" s="331"/>
      <c r="AA34" s="332"/>
      <c r="AB34" s="140">
        <f>AB16+AB23+AB29+AB31+AB32+AB30</f>
        <v>17404607.2</v>
      </c>
      <c r="AC34" s="140">
        <f>AC16+AC23+AC29+AC31+AC32+AC30</f>
        <v>0</v>
      </c>
      <c r="AD34" s="140">
        <f>AD16+AD23+AD29+AD31+AD32+AD30</f>
        <v>17404607.2</v>
      </c>
      <c r="AE34" s="330" t="s">
        <v>29</v>
      </c>
      <c r="AF34" s="331"/>
      <c r="AG34" s="332"/>
      <c r="AH34" s="140">
        <f>AH16+AH23+AH29+AH31+AH32+AH30</f>
        <v>16088116.95</v>
      </c>
      <c r="AI34" s="140">
        <f>AI16+AI23+AI29+AI31+AI32+AI30</f>
        <v>0</v>
      </c>
      <c r="AJ34" s="140">
        <f>AJ16+AJ23+AJ29+AJ31+AJ32+AJ30</f>
        <v>16088116.95</v>
      </c>
      <c r="AK34" s="330" t="s">
        <v>29</v>
      </c>
      <c r="AL34" s="331"/>
      <c r="AM34" s="332"/>
      <c r="AN34" s="140">
        <f>AN16+AN23+AN29+AN31+AN32+AN30</f>
        <v>27008916.23</v>
      </c>
      <c r="AO34" s="140">
        <f>AO16+AO23+AO29+AO31+AO32+AO30</f>
        <v>0</v>
      </c>
      <c r="AP34" s="140">
        <f>AP16+AP23+AP29+AP31+AP32+AP30</f>
        <v>27008916.23</v>
      </c>
      <c r="AQ34" s="330" t="s">
        <v>29</v>
      </c>
      <c r="AR34" s="331"/>
      <c r="AS34" s="332"/>
      <c r="AT34" s="140">
        <f>AT16+AT23+AT29+AT31+AT32+AT30</f>
        <v>27976702.6</v>
      </c>
      <c r="AU34" s="140">
        <f>AU16+AU23+AU29+AU31+AU32+AU30</f>
        <v>0</v>
      </c>
      <c r="AV34" s="140">
        <f>AV16+AV23+AV29+AV31+AV32+AV30</f>
        <v>27976702.6</v>
      </c>
      <c r="AW34" s="330" t="s">
        <v>29</v>
      </c>
      <c r="AX34" s="331"/>
      <c r="AY34" s="332"/>
      <c r="AZ34" s="140">
        <f>AZ16+AZ23+AZ29+AZ31+AZ32+AZ30</f>
        <v>27916831.36</v>
      </c>
      <c r="BA34" s="140">
        <f>BA16+BA23+BA29+BA31+BA32+BA30</f>
        <v>0</v>
      </c>
      <c r="BB34" s="140">
        <f>BB16+BB23+BB29+BB31+BB32+BB30</f>
        <v>27916831.36</v>
      </c>
      <c r="BC34" s="330" t="s">
        <v>29</v>
      </c>
      <c r="BD34" s="331"/>
      <c r="BE34" s="332"/>
      <c r="BF34" s="140">
        <f>BF16+BF23+BF29+BF31+BF32+BF30</f>
        <v>21596955.689999998</v>
      </c>
      <c r="BG34" s="140">
        <f>BG16+BG23+BG29+BG31+BG32+BG30</f>
        <v>0</v>
      </c>
      <c r="BH34" s="140">
        <f>BH16+BH23+BH29+BH31+BH32+BH30</f>
        <v>21596955.689999998</v>
      </c>
    </row>
    <row r="36" spans="1:60" ht="21">
      <c r="A36" s="155"/>
      <c r="B36" s="41"/>
      <c r="C36" s="41"/>
      <c r="D36" s="156"/>
      <c r="E36" s="156"/>
      <c r="F36" s="156"/>
      <c r="G36" s="155"/>
      <c r="H36" s="41"/>
      <c r="I36" s="41"/>
      <c r="J36" s="156"/>
      <c r="K36" s="156"/>
      <c r="L36" s="156"/>
      <c r="M36" s="155"/>
      <c r="N36" s="41"/>
      <c r="O36" s="41"/>
      <c r="P36" s="156"/>
      <c r="Q36" s="156"/>
      <c r="R36" s="156"/>
      <c r="S36" s="155"/>
      <c r="T36" s="41"/>
      <c r="U36" s="41"/>
      <c r="V36" s="156"/>
      <c r="W36" s="156"/>
      <c r="X36" s="156"/>
      <c r="Y36" s="155"/>
      <c r="Z36" s="41"/>
      <c r="AA36" s="41"/>
      <c r="AB36" s="156"/>
      <c r="AC36" s="156"/>
      <c r="AD36" s="156"/>
      <c r="AE36" s="155"/>
      <c r="AF36" s="41"/>
      <c r="AG36" s="41"/>
      <c r="AH36" s="156"/>
      <c r="AI36" s="156"/>
      <c r="AJ36" s="156"/>
      <c r="AK36" s="155"/>
      <c r="AL36" s="41"/>
      <c r="AM36" s="41"/>
      <c r="AN36" s="156"/>
      <c r="AO36" s="156"/>
      <c r="AP36" s="156"/>
      <c r="AQ36" s="155"/>
      <c r="AR36" s="41"/>
      <c r="AS36" s="41"/>
      <c r="AT36" s="156"/>
      <c r="AU36" s="156"/>
      <c r="AV36" s="156"/>
      <c r="AW36" s="155"/>
      <c r="AX36" s="41"/>
      <c r="AY36" s="41"/>
      <c r="AZ36" s="156"/>
      <c r="BA36" s="156"/>
      <c r="BB36" s="156"/>
      <c r="BC36" s="155"/>
      <c r="BD36" s="41"/>
      <c r="BE36" s="41"/>
      <c r="BF36" s="156"/>
      <c r="BG36" s="156"/>
      <c r="BH36" s="156"/>
    </row>
    <row r="37" spans="1:60" ht="21">
      <c r="A37" s="157"/>
      <c r="B37" s="158"/>
      <c r="C37" s="41"/>
      <c r="D37" s="156"/>
      <c r="E37" s="156"/>
      <c r="F37" s="156"/>
      <c r="G37" s="157"/>
      <c r="H37" s="158"/>
      <c r="I37" s="41"/>
      <c r="J37" s="156"/>
      <c r="K37" s="156"/>
      <c r="L37" s="156"/>
      <c r="M37" s="157"/>
      <c r="N37" s="158"/>
      <c r="O37" s="41"/>
      <c r="P37" s="156"/>
      <c r="Q37" s="156"/>
      <c r="R37" s="156"/>
      <c r="S37" s="157"/>
      <c r="T37" s="158"/>
      <c r="U37" s="41"/>
      <c r="V37" s="156"/>
      <c r="W37" s="156"/>
      <c r="X37" s="156"/>
      <c r="Y37" s="157"/>
      <c r="Z37" s="158"/>
      <c r="AA37" s="41"/>
      <c r="AB37" s="156"/>
      <c r="AC37" s="156"/>
      <c r="AD37" s="156"/>
      <c r="AE37" s="157"/>
      <c r="AF37" s="158"/>
      <c r="AG37" s="41"/>
      <c r="AH37" s="156"/>
      <c r="AI37" s="156"/>
      <c r="AJ37" s="156"/>
      <c r="AK37" s="157"/>
      <c r="AL37" s="158"/>
      <c r="AM37" s="41"/>
      <c r="AN37" s="156"/>
      <c r="AO37" s="156"/>
      <c r="AP37" s="156"/>
      <c r="AQ37" s="157"/>
      <c r="AR37" s="158"/>
      <c r="AS37" s="41"/>
      <c r="AT37" s="156"/>
      <c r="AU37" s="156"/>
      <c r="AV37" s="156"/>
      <c r="AW37" s="157"/>
      <c r="AX37" s="158"/>
      <c r="AY37" s="41"/>
      <c r="AZ37" s="156"/>
      <c r="BA37" s="156"/>
      <c r="BB37" s="156"/>
      <c r="BC37" s="157"/>
      <c r="BD37" s="158"/>
      <c r="BE37" s="41"/>
      <c r="BF37" s="156"/>
      <c r="BG37" s="156"/>
      <c r="BH37" s="156"/>
    </row>
    <row r="38" spans="1:60" ht="21">
      <c r="A38" s="157"/>
      <c r="B38" s="158"/>
      <c r="C38" s="41"/>
      <c r="D38" s="156"/>
      <c r="E38" s="156"/>
      <c r="F38" s="156"/>
      <c r="G38" s="157"/>
      <c r="H38" s="158"/>
      <c r="I38" s="41"/>
      <c r="J38" s="156"/>
      <c r="K38" s="156"/>
      <c r="L38" s="156"/>
      <c r="M38" s="157"/>
      <c r="N38" s="158"/>
      <c r="O38" s="41"/>
      <c r="P38" s="156"/>
      <c r="Q38" s="156"/>
      <c r="R38" s="156"/>
      <c r="S38" s="157"/>
      <c r="T38" s="158"/>
      <c r="U38" s="41"/>
      <c r="V38" s="156"/>
      <c r="W38" s="156"/>
      <c r="X38" s="156"/>
      <c r="Y38" s="157"/>
      <c r="Z38" s="158"/>
      <c r="AA38" s="41"/>
      <c r="AB38" s="156"/>
      <c r="AC38" s="156"/>
      <c r="AD38" s="156"/>
      <c r="AE38" s="157"/>
      <c r="AF38" s="158"/>
      <c r="AG38" s="41"/>
      <c r="AH38" s="156"/>
      <c r="AI38" s="156"/>
      <c r="AJ38" s="156"/>
      <c r="AK38" s="157"/>
      <c r="AL38" s="158"/>
      <c r="AM38" s="41"/>
      <c r="AN38" s="156"/>
      <c r="AO38" s="156"/>
      <c r="AP38" s="156"/>
      <c r="AQ38" s="157"/>
      <c r="AR38" s="158"/>
      <c r="AS38" s="41"/>
      <c r="AT38" s="156"/>
      <c r="AU38" s="156"/>
      <c r="AV38" s="156"/>
      <c r="AW38" s="157"/>
      <c r="AX38" s="158"/>
      <c r="AY38" s="41"/>
      <c r="AZ38" s="156"/>
      <c r="BA38" s="156"/>
      <c r="BB38" s="156"/>
      <c r="BC38" s="157"/>
      <c r="BD38" s="158"/>
      <c r="BE38" s="41"/>
      <c r="BF38" s="156"/>
      <c r="BG38" s="156"/>
      <c r="BH38" s="156"/>
    </row>
    <row r="39" spans="1:60" ht="34.5" customHeight="1">
      <c r="A39" s="157"/>
      <c r="B39" s="41"/>
      <c r="C39" s="41"/>
      <c r="D39" s="156"/>
      <c r="E39" s="156"/>
      <c r="F39" s="159"/>
      <c r="G39" s="157"/>
      <c r="H39" s="41"/>
      <c r="I39" s="41"/>
      <c r="J39" s="156"/>
      <c r="K39" s="156"/>
      <c r="L39" s="159"/>
      <c r="M39" s="157"/>
      <c r="N39" s="41"/>
      <c r="O39" s="41"/>
      <c r="P39" s="156"/>
      <c r="Q39" s="156"/>
      <c r="R39" s="159"/>
      <c r="S39" s="157"/>
      <c r="T39" s="41"/>
      <c r="U39" s="41"/>
      <c r="V39" s="156"/>
      <c r="W39" s="156"/>
      <c r="X39" s="159"/>
      <c r="Y39" s="157"/>
      <c r="Z39" s="41"/>
      <c r="AA39" s="41"/>
      <c r="AB39" s="156"/>
      <c r="AC39" s="156"/>
      <c r="AD39" s="159"/>
      <c r="AE39" s="157"/>
      <c r="AF39" s="41"/>
      <c r="AG39" s="41"/>
      <c r="AH39" s="156"/>
      <c r="AI39" s="156"/>
      <c r="AJ39" s="159"/>
      <c r="AK39" s="157"/>
      <c r="AL39" s="41"/>
      <c r="AM39" s="41"/>
      <c r="AN39" s="156"/>
      <c r="AO39" s="156"/>
      <c r="AP39" s="159"/>
      <c r="AQ39" s="157"/>
      <c r="AR39" s="41"/>
      <c r="AS39" s="41"/>
      <c r="AT39" s="156"/>
      <c r="AU39" s="156"/>
      <c r="AV39" s="159"/>
      <c r="AW39" s="157"/>
      <c r="AX39" s="41"/>
      <c r="AY39" s="41"/>
      <c r="AZ39" s="156"/>
      <c r="BA39" s="156"/>
      <c r="BB39" s="159"/>
      <c r="BC39" s="157"/>
      <c r="BD39" s="41"/>
      <c r="BE39" s="41"/>
      <c r="BF39" s="156"/>
      <c r="BG39" s="156"/>
      <c r="BH39" s="159"/>
    </row>
  </sheetData>
  <sheetProtection/>
  <mergeCells count="70">
    <mergeCell ref="AW34:AY34"/>
    <mergeCell ref="AW1:BB1"/>
    <mergeCell ref="AW2:BB2"/>
    <mergeCell ref="AX3:AY3"/>
    <mergeCell ref="AX16:AY16"/>
    <mergeCell ref="AX23:AY23"/>
    <mergeCell ref="AX29:AY29"/>
    <mergeCell ref="AQ34:AS34"/>
    <mergeCell ref="AQ1:AV1"/>
    <mergeCell ref="AQ2:AV2"/>
    <mergeCell ref="AR3:AS3"/>
    <mergeCell ref="AR16:AS16"/>
    <mergeCell ref="AR23:AS23"/>
    <mergeCell ref="AR29:AS29"/>
    <mergeCell ref="S34:U34"/>
    <mergeCell ref="S1:X1"/>
    <mergeCell ref="S2:X2"/>
    <mergeCell ref="T3:U3"/>
    <mergeCell ref="T16:U16"/>
    <mergeCell ref="T23:U23"/>
    <mergeCell ref="T29:U29"/>
    <mergeCell ref="G34:I34"/>
    <mergeCell ref="G1:L1"/>
    <mergeCell ref="G2:L2"/>
    <mergeCell ref="H3:I3"/>
    <mergeCell ref="H16:I16"/>
    <mergeCell ref="H23:I23"/>
    <mergeCell ref="H29:I29"/>
    <mergeCell ref="A34:C34"/>
    <mergeCell ref="A1:F1"/>
    <mergeCell ref="B3:C3"/>
    <mergeCell ref="B16:C16"/>
    <mergeCell ref="A2:F2"/>
    <mergeCell ref="B23:C23"/>
    <mergeCell ref="B29:C29"/>
    <mergeCell ref="M34:O34"/>
    <mergeCell ref="M1:R1"/>
    <mergeCell ref="M2:R2"/>
    <mergeCell ref="N3:O3"/>
    <mergeCell ref="N16:O16"/>
    <mergeCell ref="N23:O23"/>
    <mergeCell ref="N29:O29"/>
    <mergeCell ref="Y34:AA34"/>
    <mergeCell ref="Y1:AD1"/>
    <mergeCell ref="Y2:AD2"/>
    <mergeCell ref="Z3:AA3"/>
    <mergeCell ref="Z16:AA16"/>
    <mergeCell ref="Z23:AA23"/>
    <mergeCell ref="Z29:AA29"/>
    <mergeCell ref="AE34:AG34"/>
    <mergeCell ref="AE1:AJ1"/>
    <mergeCell ref="AE2:AJ2"/>
    <mergeCell ref="AF3:AG3"/>
    <mergeCell ref="AF16:AG16"/>
    <mergeCell ref="AF23:AG23"/>
    <mergeCell ref="AF29:AG29"/>
    <mergeCell ref="AK34:AM34"/>
    <mergeCell ref="AK1:AP1"/>
    <mergeCell ref="AK2:AP2"/>
    <mergeCell ref="AL3:AM3"/>
    <mergeCell ref="AL16:AM16"/>
    <mergeCell ref="AL23:AM23"/>
    <mergeCell ref="AL29:AM29"/>
    <mergeCell ref="BC34:BE34"/>
    <mergeCell ref="BC1:BH1"/>
    <mergeCell ref="BC2:BH2"/>
    <mergeCell ref="BD3:BE3"/>
    <mergeCell ref="BD16:BE16"/>
    <mergeCell ref="BD23:BE23"/>
    <mergeCell ref="BD29:BE29"/>
  </mergeCells>
  <printOptions/>
  <pageMargins left="0.32" right="0.16" top="0.37" bottom="0.19" header="0.16" footer="0.3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14"/>
  <sheetViews>
    <sheetView zoomScalePageLayoutView="0" workbookViewId="0" topLeftCell="CH1">
      <selection activeCell="CK13" sqref="CK13"/>
    </sheetView>
  </sheetViews>
  <sheetFormatPr defaultColWidth="9.140625" defaultRowHeight="21.75"/>
  <cols>
    <col min="1" max="1" width="5.8515625" style="1" hidden="1" customWidth="1"/>
    <col min="2" max="2" width="31.140625" style="1" hidden="1" customWidth="1"/>
    <col min="3" max="5" width="17.00390625" style="2" hidden="1" customWidth="1"/>
    <col min="6" max="6" width="5.8515625" style="1" hidden="1" customWidth="1"/>
    <col min="7" max="7" width="31.140625" style="1" hidden="1" customWidth="1"/>
    <col min="8" max="10" width="17.00390625" style="2" hidden="1" customWidth="1"/>
    <col min="11" max="11" width="5.8515625" style="1" hidden="1" customWidth="1"/>
    <col min="12" max="12" width="31.140625" style="1" hidden="1" customWidth="1"/>
    <col min="13" max="15" width="17.00390625" style="2" hidden="1" customWidth="1"/>
    <col min="16" max="16" width="5.8515625" style="1" hidden="1" customWidth="1"/>
    <col min="17" max="17" width="31.140625" style="1" hidden="1" customWidth="1"/>
    <col min="18" max="20" width="17.00390625" style="2" hidden="1" customWidth="1"/>
    <col min="21" max="21" width="5.8515625" style="1" hidden="1" customWidth="1"/>
    <col min="22" max="22" width="31.140625" style="1" hidden="1" customWidth="1"/>
    <col min="23" max="25" width="17.00390625" style="2" hidden="1" customWidth="1"/>
    <col min="26" max="26" width="5.8515625" style="1" hidden="1" customWidth="1"/>
    <col min="27" max="27" width="31.140625" style="1" hidden="1" customWidth="1"/>
    <col min="28" max="30" width="17.00390625" style="2" hidden="1" customWidth="1"/>
    <col min="31" max="31" width="5.8515625" style="1" hidden="1" customWidth="1"/>
    <col min="32" max="32" width="31.140625" style="1" hidden="1" customWidth="1"/>
    <col min="33" max="35" width="17.00390625" style="2" hidden="1" customWidth="1"/>
    <col min="36" max="36" width="5.8515625" style="1" hidden="1" customWidth="1"/>
    <col min="37" max="37" width="31.140625" style="1" hidden="1" customWidth="1"/>
    <col min="38" max="40" width="17.00390625" style="2" hidden="1" customWidth="1"/>
    <col min="41" max="41" width="5.8515625" style="1" hidden="1" customWidth="1"/>
    <col min="42" max="42" width="31.140625" style="1" hidden="1" customWidth="1"/>
    <col min="43" max="44" width="17.00390625" style="2" hidden="1" customWidth="1"/>
    <col min="45" max="45" width="0.13671875" style="2" hidden="1" customWidth="1"/>
    <col min="46" max="46" width="5.8515625" style="1" hidden="1" customWidth="1"/>
    <col min="47" max="47" width="62.8515625" style="1" hidden="1" customWidth="1"/>
    <col min="48" max="50" width="17.00390625" style="2" hidden="1" customWidth="1"/>
    <col min="51" max="51" width="5.8515625" style="1" hidden="1" customWidth="1"/>
    <col min="52" max="52" width="41.8515625" style="1" hidden="1" customWidth="1"/>
    <col min="53" max="55" width="17.00390625" style="2" hidden="1" customWidth="1"/>
    <col min="56" max="56" width="5.8515625" style="1" hidden="1" customWidth="1"/>
    <col min="57" max="57" width="41.8515625" style="1" hidden="1" customWidth="1"/>
    <col min="58" max="60" width="17.00390625" style="2" hidden="1" customWidth="1"/>
    <col min="61" max="61" width="5.8515625" style="1" hidden="1" customWidth="1"/>
    <col min="62" max="62" width="41.8515625" style="1" hidden="1" customWidth="1"/>
    <col min="63" max="65" width="17.00390625" style="2" hidden="1" customWidth="1"/>
    <col min="66" max="66" width="5.8515625" style="1" hidden="1" customWidth="1"/>
    <col min="67" max="67" width="41.8515625" style="1" hidden="1" customWidth="1"/>
    <col min="68" max="70" width="17.00390625" style="2" hidden="1" customWidth="1"/>
    <col min="71" max="71" width="5.8515625" style="1" hidden="1" customWidth="1"/>
    <col min="72" max="72" width="41.8515625" style="1" hidden="1" customWidth="1"/>
    <col min="73" max="75" width="17.00390625" style="2" hidden="1" customWidth="1"/>
    <col min="76" max="76" width="5.8515625" style="1" hidden="1" customWidth="1"/>
    <col min="77" max="77" width="41.8515625" style="1" hidden="1" customWidth="1"/>
    <col min="78" max="80" width="17.00390625" style="2" hidden="1" customWidth="1"/>
    <col min="81" max="81" width="5.8515625" style="1" hidden="1" customWidth="1"/>
    <col min="82" max="82" width="41.8515625" style="1" hidden="1" customWidth="1"/>
    <col min="83" max="85" width="17.00390625" style="2" hidden="1" customWidth="1"/>
    <col min="86" max="86" width="5.8515625" style="1" customWidth="1"/>
    <col min="87" max="87" width="41.8515625" style="1" customWidth="1"/>
    <col min="88" max="90" width="17.00390625" style="2" customWidth="1"/>
    <col min="91" max="16384" width="9.140625" style="1" customWidth="1"/>
  </cols>
  <sheetData>
    <row r="1" spans="1:90" ht="23.25">
      <c r="A1" s="333" t="s">
        <v>91</v>
      </c>
      <c r="B1" s="333"/>
      <c r="C1" s="333"/>
      <c r="D1" s="333"/>
      <c r="E1" s="333"/>
      <c r="F1" s="333" t="s">
        <v>91</v>
      </c>
      <c r="G1" s="333"/>
      <c r="H1" s="333"/>
      <c r="I1" s="333"/>
      <c r="J1" s="333"/>
      <c r="K1" s="333" t="s">
        <v>91</v>
      </c>
      <c r="L1" s="333"/>
      <c r="M1" s="333"/>
      <c r="N1" s="333"/>
      <c r="O1" s="333"/>
      <c r="P1" s="333" t="s">
        <v>91</v>
      </c>
      <c r="Q1" s="333"/>
      <c r="R1" s="333"/>
      <c r="S1" s="333"/>
      <c r="T1" s="333"/>
      <c r="U1" s="333" t="s">
        <v>91</v>
      </c>
      <c r="V1" s="333"/>
      <c r="W1" s="333"/>
      <c r="X1" s="333"/>
      <c r="Y1" s="333"/>
      <c r="Z1" s="333" t="s">
        <v>91</v>
      </c>
      <c r="AA1" s="333"/>
      <c r="AB1" s="333"/>
      <c r="AC1" s="333"/>
      <c r="AD1" s="333"/>
      <c r="AE1" s="333" t="s">
        <v>91</v>
      </c>
      <c r="AF1" s="333"/>
      <c r="AG1" s="333"/>
      <c r="AH1" s="333"/>
      <c r="AI1" s="333"/>
      <c r="AJ1" s="333" t="s">
        <v>91</v>
      </c>
      <c r="AK1" s="333"/>
      <c r="AL1" s="333"/>
      <c r="AM1" s="333"/>
      <c r="AN1" s="333"/>
      <c r="AO1" s="333" t="s">
        <v>91</v>
      </c>
      <c r="AP1" s="333"/>
      <c r="AQ1" s="333"/>
      <c r="AR1" s="333"/>
      <c r="AS1" s="333"/>
      <c r="AT1" s="333" t="s">
        <v>91</v>
      </c>
      <c r="AU1" s="333"/>
      <c r="AV1" s="333"/>
      <c r="AW1" s="333"/>
      <c r="AX1" s="333"/>
      <c r="AY1" s="333" t="s">
        <v>91</v>
      </c>
      <c r="AZ1" s="333"/>
      <c r="BA1" s="333"/>
      <c r="BB1" s="333"/>
      <c r="BC1" s="333"/>
      <c r="BD1" s="333" t="s">
        <v>91</v>
      </c>
      <c r="BE1" s="333"/>
      <c r="BF1" s="333"/>
      <c r="BG1" s="333"/>
      <c r="BH1" s="333"/>
      <c r="BI1" s="333" t="s">
        <v>91</v>
      </c>
      <c r="BJ1" s="333"/>
      <c r="BK1" s="333"/>
      <c r="BL1" s="333"/>
      <c r="BM1" s="333"/>
      <c r="BN1" s="333" t="s">
        <v>91</v>
      </c>
      <c r="BO1" s="333"/>
      <c r="BP1" s="333"/>
      <c r="BQ1" s="333"/>
      <c r="BR1" s="333"/>
      <c r="BS1" s="333" t="s">
        <v>91</v>
      </c>
      <c r="BT1" s="333"/>
      <c r="BU1" s="333"/>
      <c r="BV1" s="333"/>
      <c r="BW1" s="333"/>
      <c r="BX1" s="333" t="s">
        <v>91</v>
      </c>
      <c r="BY1" s="333"/>
      <c r="BZ1" s="333"/>
      <c r="CA1" s="333"/>
      <c r="CB1" s="333"/>
      <c r="CC1" s="333" t="s">
        <v>91</v>
      </c>
      <c r="CD1" s="333"/>
      <c r="CE1" s="333"/>
      <c r="CF1" s="333"/>
      <c r="CG1" s="333"/>
      <c r="CH1" s="333" t="s">
        <v>91</v>
      </c>
      <c r="CI1" s="333"/>
      <c r="CJ1" s="333"/>
      <c r="CK1" s="333"/>
      <c r="CL1" s="333"/>
    </row>
    <row r="2" spans="1:90" ht="23.25">
      <c r="A2" s="333" t="s">
        <v>128</v>
      </c>
      <c r="B2" s="333"/>
      <c r="C2" s="333"/>
      <c r="D2" s="333"/>
      <c r="E2" s="333"/>
      <c r="F2" s="333" t="s">
        <v>131</v>
      </c>
      <c r="G2" s="333"/>
      <c r="H2" s="333"/>
      <c r="I2" s="333"/>
      <c r="J2" s="333"/>
      <c r="K2" s="333" t="s">
        <v>132</v>
      </c>
      <c r="L2" s="333"/>
      <c r="M2" s="333"/>
      <c r="N2" s="333"/>
      <c r="O2" s="333"/>
      <c r="P2" s="333" t="s">
        <v>133</v>
      </c>
      <c r="Q2" s="333"/>
      <c r="R2" s="333"/>
      <c r="S2" s="333"/>
      <c r="T2" s="333"/>
      <c r="U2" s="333" t="s">
        <v>134</v>
      </c>
      <c r="V2" s="333"/>
      <c r="W2" s="333"/>
      <c r="X2" s="333"/>
      <c r="Y2" s="333"/>
      <c r="Z2" s="333" t="s">
        <v>135</v>
      </c>
      <c r="AA2" s="333"/>
      <c r="AB2" s="333"/>
      <c r="AC2" s="333"/>
      <c r="AD2" s="333"/>
      <c r="AE2" s="333" t="s">
        <v>136</v>
      </c>
      <c r="AF2" s="333"/>
      <c r="AG2" s="333"/>
      <c r="AH2" s="333"/>
      <c r="AI2" s="333"/>
      <c r="AJ2" s="333" t="s">
        <v>137</v>
      </c>
      <c r="AK2" s="333"/>
      <c r="AL2" s="333"/>
      <c r="AM2" s="333"/>
      <c r="AN2" s="333"/>
      <c r="AO2" s="333" t="s">
        <v>138</v>
      </c>
      <c r="AP2" s="333"/>
      <c r="AQ2" s="333"/>
      <c r="AR2" s="333"/>
      <c r="AS2" s="333"/>
      <c r="AT2" s="333" t="s">
        <v>140</v>
      </c>
      <c r="AU2" s="333"/>
      <c r="AV2" s="333"/>
      <c r="AW2" s="333"/>
      <c r="AX2" s="333"/>
      <c r="AY2" s="333" t="s">
        <v>166</v>
      </c>
      <c r="AZ2" s="333"/>
      <c r="BA2" s="333"/>
      <c r="BB2" s="333"/>
      <c r="BC2" s="333"/>
      <c r="BD2" s="333" t="s">
        <v>167</v>
      </c>
      <c r="BE2" s="333"/>
      <c r="BF2" s="333"/>
      <c r="BG2" s="333"/>
      <c r="BH2" s="333"/>
      <c r="BI2" s="333" t="s">
        <v>176</v>
      </c>
      <c r="BJ2" s="333"/>
      <c r="BK2" s="333"/>
      <c r="BL2" s="333"/>
      <c r="BM2" s="333"/>
      <c r="BN2" s="333" t="s">
        <v>182</v>
      </c>
      <c r="BO2" s="333"/>
      <c r="BP2" s="333"/>
      <c r="BQ2" s="333"/>
      <c r="BR2" s="333"/>
      <c r="BS2" s="333" t="s">
        <v>196</v>
      </c>
      <c r="BT2" s="333"/>
      <c r="BU2" s="333"/>
      <c r="BV2" s="333"/>
      <c r="BW2" s="333"/>
      <c r="BX2" s="333" t="s">
        <v>201</v>
      </c>
      <c r="BY2" s="333"/>
      <c r="BZ2" s="333"/>
      <c r="CA2" s="333"/>
      <c r="CB2" s="333"/>
      <c r="CC2" s="333" t="s">
        <v>203</v>
      </c>
      <c r="CD2" s="333"/>
      <c r="CE2" s="333"/>
      <c r="CF2" s="333"/>
      <c r="CG2" s="333"/>
      <c r="CH2" s="333" t="s">
        <v>212</v>
      </c>
      <c r="CI2" s="333"/>
      <c r="CJ2" s="333"/>
      <c r="CK2" s="333"/>
      <c r="CL2" s="333"/>
    </row>
    <row r="4" spans="1:90" ht="23.25" customHeight="1">
      <c r="A4" s="330" t="s">
        <v>2</v>
      </c>
      <c r="B4" s="332"/>
      <c r="C4" s="5" t="s">
        <v>73</v>
      </c>
      <c r="D4" s="5" t="s">
        <v>90</v>
      </c>
      <c r="E4" s="4" t="s">
        <v>7</v>
      </c>
      <c r="F4" s="330" t="s">
        <v>2</v>
      </c>
      <c r="G4" s="332"/>
      <c r="H4" s="5" t="s">
        <v>73</v>
      </c>
      <c r="I4" s="5" t="s">
        <v>90</v>
      </c>
      <c r="J4" s="4" t="s">
        <v>7</v>
      </c>
      <c r="K4" s="330" t="s">
        <v>2</v>
      </c>
      <c r="L4" s="332"/>
      <c r="M4" s="5" t="s">
        <v>73</v>
      </c>
      <c r="N4" s="5" t="s">
        <v>90</v>
      </c>
      <c r="O4" s="4" t="s">
        <v>7</v>
      </c>
      <c r="P4" s="330" t="s">
        <v>2</v>
      </c>
      <c r="Q4" s="332"/>
      <c r="R4" s="5" t="s">
        <v>73</v>
      </c>
      <c r="S4" s="5" t="s">
        <v>90</v>
      </c>
      <c r="T4" s="4" t="s">
        <v>7</v>
      </c>
      <c r="U4" s="330" t="s">
        <v>2</v>
      </c>
      <c r="V4" s="332"/>
      <c r="W4" s="5" t="s">
        <v>73</v>
      </c>
      <c r="X4" s="5" t="s">
        <v>90</v>
      </c>
      <c r="Y4" s="4" t="s">
        <v>7</v>
      </c>
      <c r="Z4" s="330" t="s">
        <v>2</v>
      </c>
      <c r="AA4" s="332"/>
      <c r="AB4" s="5" t="s">
        <v>73</v>
      </c>
      <c r="AC4" s="5" t="s">
        <v>90</v>
      </c>
      <c r="AD4" s="4" t="s">
        <v>7</v>
      </c>
      <c r="AE4" s="330" t="s">
        <v>2</v>
      </c>
      <c r="AF4" s="332"/>
      <c r="AG4" s="5" t="s">
        <v>73</v>
      </c>
      <c r="AH4" s="5" t="s">
        <v>90</v>
      </c>
      <c r="AI4" s="4" t="s">
        <v>7</v>
      </c>
      <c r="AJ4" s="330" t="s">
        <v>2</v>
      </c>
      <c r="AK4" s="332"/>
      <c r="AL4" s="5" t="s">
        <v>73</v>
      </c>
      <c r="AM4" s="5" t="s">
        <v>90</v>
      </c>
      <c r="AN4" s="4" t="s">
        <v>7</v>
      </c>
      <c r="AO4" s="330" t="s">
        <v>2</v>
      </c>
      <c r="AP4" s="332"/>
      <c r="AQ4" s="5" t="s">
        <v>73</v>
      </c>
      <c r="AR4" s="5" t="s">
        <v>90</v>
      </c>
      <c r="AS4" s="4" t="s">
        <v>7</v>
      </c>
      <c r="AT4" s="330" t="s">
        <v>2</v>
      </c>
      <c r="AU4" s="332"/>
      <c r="AV4" s="5" t="s">
        <v>73</v>
      </c>
      <c r="AW4" s="5" t="s">
        <v>90</v>
      </c>
      <c r="AX4" s="4" t="s">
        <v>7</v>
      </c>
      <c r="AY4" s="330" t="s">
        <v>2</v>
      </c>
      <c r="AZ4" s="332"/>
      <c r="BA4" s="5" t="s">
        <v>73</v>
      </c>
      <c r="BB4" s="5" t="s">
        <v>90</v>
      </c>
      <c r="BC4" s="4" t="s">
        <v>7</v>
      </c>
      <c r="BD4" s="330" t="s">
        <v>2</v>
      </c>
      <c r="BE4" s="332"/>
      <c r="BF4" s="5" t="s">
        <v>73</v>
      </c>
      <c r="BG4" s="5" t="s">
        <v>90</v>
      </c>
      <c r="BH4" s="4" t="s">
        <v>7</v>
      </c>
      <c r="BI4" s="330" t="s">
        <v>2</v>
      </c>
      <c r="BJ4" s="332"/>
      <c r="BK4" s="5" t="s">
        <v>73</v>
      </c>
      <c r="BL4" s="5" t="s">
        <v>90</v>
      </c>
      <c r="BM4" s="4" t="s">
        <v>7</v>
      </c>
      <c r="BN4" s="330" t="s">
        <v>2</v>
      </c>
      <c r="BO4" s="332"/>
      <c r="BP4" s="5" t="s">
        <v>73</v>
      </c>
      <c r="BQ4" s="5" t="s">
        <v>90</v>
      </c>
      <c r="BR4" s="4" t="s">
        <v>7</v>
      </c>
      <c r="BS4" s="330" t="s">
        <v>2</v>
      </c>
      <c r="BT4" s="332"/>
      <c r="BU4" s="5" t="s">
        <v>73</v>
      </c>
      <c r="BV4" s="5" t="s">
        <v>90</v>
      </c>
      <c r="BW4" s="4" t="s">
        <v>7</v>
      </c>
      <c r="BX4" s="330" t="s">
        <v>2</v>
      </c>
      <c r="BY4" s="332"/>
      <c r="BZ4" s="5" t="s">
        <v>73</v>
      </c>
      <c r="CA4" s="5" t="s">
        <v>90</v>
      </c>
      <c r="CB4" s="4" t="s">
        <v>7</v>
      </c>
      <c r="CC4" s="330" t="s">
        <v>2</v>
      </c>
      <c r="CD4" s="332"/>
      <c r="CE4" s="5" t="s">
        <v>73</v>
      </c>
      <c r="CF4" s="5" t="s">
        <v>90</v>
      </c>
      <c r="CG4" s="4" t="s">
        <v>7</v>
      </c>
      <c r="CH4" s="330" t="s">
        <v>2</v>
      </c>
      <c r="CI4" s="332"/>
      <c r="CJ4" s="5" t="s">
        <v>73</v>
      </c>
      <c r="CK4" s="5" t="s">
        <v>90</v>
      </c>
      <c r="CL4" s="4" t="s">
        <v>7</v>
      </c>
    </row>
    <row r="5" spans="1:90" ht="21">
      <c r="A5" s="12"/>
      <c r="B5" s="13" t="s">
        <v>81</v>
      </c>
      <c r="C5" s="10">
        <v>79634290.95</v>
      </c>
      <c r="D5" s="10">
        <v>8082088.72</v>
      </c>
      <c r="E5" s="11">
        <f aca="true" t="shared" si="0" ref="E5:E11">+C5+D5</f>
        <v>87716379.67</v>
      </c>
      <c r="F5" s="12"/>
      <c r="G5" s="13" t="s">
        <v>81</v>
      </c>
      <c r="H5" s="10">
        <v>79634290.95</v>
      </c>
      <c r="I5" s="10">
        <v>8082088.72</v>
      </c>
      <c r="J5" s="11">
        <f>+H5+I5</f>
        <v>87716379.67</v>
      </c>
      <c r="K5" s="12"/>
      <c r="L5" s="13" t="s">
        <v>81</v>
      </c>
      <c r="M5" s="10">
        <v>79634290.95</v>
      </c>
      <c r="N5" s="10">
        <v>8082088.72</v>
      </c>
      <c r="O5" s="11">
        <f>+M5+N5</f>
        <v>87716379.67</v>
      </c>
      <c r="P5" s="12"/>
      <c r="Q5" s="13" t="s">
        <v>81</v>
      </c>
      <c r="R5" s="10">
        <v>79634290.95</v>
      </c>
      <c r="S5" s="10">
        <v>8082088.72</v>
      </c>
      <c r="T5" s="11">
        <f>+R5+S5</f>
        <v>87716379.67</v>
      </c>
      <c r="U5" s="12"/>
      <c r="V5" s="13" t="s">
        <v>81</v>
      </c>
      <c r="W5" s="10">
        <v>79634290.95</v>
      </c>
      <c r="X5" s="10">
        <v>8082088.72</v>
      </c>
      <c r="Y5" s="11">
        <f>+W5+X5</f>
        <v>87716379.67</v>
      </c>
      <c r="Z5" s="12"/>
      <c r="AA5" s="13" t="s">
        <v>81</v>
      </c>
      <c r="AB5" s="10">
        <v>79634290.95</v>
      </c>
      <c r="AC5" s="10">
        <v>8082088.72</v>
      </c>
      <c r="AD5" s="11">
        <f>+AB5+AC5</f>
        <v>87716379.67</v>
      </c>
      <c r="AE5" s="12"/>
      <c r="AF5" s="13" t="s">
        <v>81</v>
      </c>
      <c r="AG5" s="10">
        <v>79634290.95</v>
      </c>
      <c r="AH5" s="10">
        <v>8082088.72</v>
      </c>
      <c r="AI5" s="11">
        <f>+AG5+AH5</f>
        <v>87716379.67</v>
      </c>
      <c r="AJ5" s="12"/>
      <c r="AK5" s="13" t="s">
        <v>81</v>
      </c>
      <c r="AL5" s="10">
        <v>79634290.95</v>
      </c>
      <c r="AM5" s="10">
        <v>8082088.72</v>
      </c>
      <c r="AN5" s="11">
        <f>+AL5+AM5</f>
        <v>87716379.67</v>
      </c>
      <c r="AO5" s="12"/>
      <c r="AP5" s="13" t="s">
        <v>81</v>
      </c>
      <c r="AQ5" s="10">
        <v>79634290.95</v>
      </c>
      <c r="AR5" s="10">
        <v>8082088.72</v>
      </c>
      <c r="AS5" s="11">
        <f>+AQ5+AR5</f>
        <v>87716379.67</v>
      </c>
      <c r="AT5" s="12"/>
      <c r="AU5" s="13" t="s">
        <v>81</v>
      </c>
      <c r="AV5" s="10">
        <v>76853790.55</v>
      </c>
      <c r="AW5" s="10">
        <v>1124565.49</v>
      </c>
      <c r="AX5" s="11">
        <f aca="true" t="shared" si="1" ref="AX5:AX11">+AV5+AW5</f>
        <v>77978356.03999999</v>
      </c>
      <c r="AY5" s="12"/>
      <c r="AZ5" s="13" t="s">
        <v>81</v>
      </c>
      <c r="BA5" s="10">
        <v>76853790.55</v>
      </c>
      <c r="BB5" s="10">
        <v>1124565.49</v>
      </c>
      <c r="BC5" s="11">
        <f aca="true" t="shared" si="2" ref="BC5:BC11">+BA5+BB5</f>
        <v>77978356.03999999</v>
      </c>
      <c r="BD5" s="12"/>
      <c r="BE5" s="13" t="s">
        <v>81</v>
      </c>
      <c r="BF5" s="10">
        <v>76853790.55</v>
      </c>
      <c r="BG5" s="10">
        <v>1124565.49</v>
      </c>
      <c r="BH5" s="11">
        <f aca="true" t="shared" si="3" ref="BH5:BH11">+BF5+BG5</f>
        <v>77978356.03999999</v>
      </c>
      <c r="BI5" s="12"/>
      <c r="BJ5" s="13" t="s">
        <v>81</v>
      </c>
      <c r="BK5" s="10">
        <v>76853790.55</v>
      </c>
      <c r="BL5" s="10">
        <v>1124565.49</v>
      </c>
      <c r="BM5" s="11">
        <f aca="true" t="shared" si="4" ref="BM5:BM11">+BK5+BL5</f>
        <v>77978356.03999999</v>
      </c>
      <c r="BN5" s="12"/>
      <c r="BO5" s="13" t="s">
        <v>81</v>
      </c>
      <c r="BP5" s="10">
        <v>76853790.55</v>
      </c>
      <c r="BQ5" s="10">
        <v>1124565.49</v>
      </c>
      <c r="BR5" s="11">
        <f aca="true" t="shared" si="5" ref="BR5:BR11">+BP5+BQ5</f>
        <v>77978356.03999999</v>
      </c>
      <c r="BS5" s="12"/>
      <c r="BT5" s="13" t="s">
        <v>81</v>
      </c>
      <c r="BU5" s="10">
        <v>76853790.55</v>
      </c>
      <c r="BV5" s="10">
        <v>1124565.49</v>
      </c>
      <c r="BW5" s="11">
        <f aca="true" t="shared" si="6" ref="BW5:BW11">+BU5+BV5</f>
        <v>77978356.03999999</v>
      </c>
      <c r="BX5" s="12"/>
      <c r="BY5" s="13" t="s">
        <v>81</v>
      </c>
      <c r="BZ5" s="10">
        <v>76853790.55</v>
      </c>
      <c r="CA5" s="10">
        <v>1124565.49</v>
      </c>
      <c r="CB5" s="11">
        <f aca="true" t="shared" si="7" ref="CB5:CB11">+BZ5+CA5</f>
        <v>77978356.03999999</v>
      </c>
      <c r="CC5" s="12"/>
      <c r="CD5" s="13" t="s">
        <v>81</v>
      </c>
      <c r="CE5" s="10">
        <v>76853790.55</v>
      </c>
      <c r="CF5" s="10">
        <v>1124565.49</v>
      </c>
      <c r="CG5" s="11">
        <f aca="true" t="shared" si="8" ref="CG5:CG11">+CE5+CF5</f>
        <v>77978356.03999999</v>
      </c>
      <c r="CH5" s="12"/>
      <c r="CI5" s="13" t="s">
        <v>81</v>
      </c>
      <c r="CJ5" s="10">
        <v>76853790.55</v>
      </c>
      <c r="CK5" s="10">
        <v>1124565.49</v>
      </c>
      <c r="CL5" s="11">
        <f aca="true" t="shared" si="9" ref="CL5:CL11">+CJ5+CK5</f>
        <v>77978356.03999999</v>
      </c>
    </row>
    <row r="6" spans="1:90" ht="21">
      <c r="A6" s="14" t="s">
        <v>82</v>
      </c>
      <c r="B6" s="15" t="s">
        <v>83</v>
      </c>
      <c r="C6" s="7">
        <v>9824361.62</v>
      </c>
      <c r="D6" s="7">
        <v>268382.18</v>
      </c>
      <c r="E6" s="7">
        <f t="shared" si="0"/>
        <v>10092743.799999999</v>
      </c>
      <c r="F6" s="14" t="s">
        <v>82</v>
      </c>
      <c r="G6" s="15" t="s">
        <v>83</v>
      </c>
      <c r="H6" s="7">
        <v>24812090.21</v>
      </c>
      <c r="I6" s="7">
        <v>592216.92</v>
      </c>
      <c r="J6" s="7">
        <f>+H6+I6</f>
        <v>25404307.130000003</v>
      </c>
      <c r="K6" s="14" t="s">
        <v>82</v>
      </c>
      <c r="L6" s="15" t="s">
        <v>83</v>
      </c>
      <c r="M6" s="7">
        <v>37566925.04</v>
      </c>
      <c r="N6" s="7">
        <v>1113273.64</v>
      </c>
      <c r="O6" s="7">
        <f>+M6+N6</f>
        <v>38680198.68</v>
      </c>
      <c r="P6" s="14" t="s">
        <v>82</v>
      </c>
      <c r="Q6" s="15" t="s">
        <v>83</v>
      </c>
      <c r="R6" s="7">
        <v>48093208.43</v>
      </c>
      <c r="S6" s="7">
        <v>1516812.41</v>
      </c>
      <c r="T6" s="7">
        <f>+R6+S6</f>
        <v>49610020.839999996</v>
      </c>
      <c r="U6" s="14" t="s">
        <v>82</v>
      </c>
      <c r="V6" s="15" t="s">
        <v>83</v>
      </c>
      <c r="W6" s="7">
        <v>58544908.3</v>
      </c>
      <c r="X6" s="7">
        <v>2092153.18</v>
      </c>
      <c r="Y6" s="7">
        <f>+W6+X6</f>
        <v>60637061.48</v>
      </c>
      <c r="Z6" s="14" t="s">
        <v>82</v>
      </c>
      <c r="AA6" s="15" t="s">
        <v>83</v>
      </c>
      <c r="AB6" s="7">
        <v>77322086.78</v>
      </c>
      <c r="AC6" s="7">
        <v>2766405.96</v>
      </c>
      <c r="AD6" s="7">
        <f>+AB6+AC6</f>
        <v>80088492.74</v>
      </c>
      <c r="AE6" s="14" t="s">
        <v>82</v>
      </c>
      <c r="AF6" s="15" t="s">
        <v>83</v>
      </c>
      <c r="AG6" s="7">
        <v>87578029.58</v>
      </c>
      <c r="AH6" s="7">
        <v>2958554.42</v>
      </c>
      <c r="AI6" s="7">
        <f>+AG6+AH6</f>
        <v>90536584</v>
      </c>
      <c r="AJ6" s="14" t="s">
        <v>82</v>
      </c>
      <c r="AK6" s="15" t="s">
        <v>83</v>
      </c>
      <c r="AL6" s="7">
        <v>117494971.89</v>
      </c>
      <c r="AM6" s="7">
        <v>6390128.2</v>
      </c>
      <c r="AN6" s="7">
        <f>+AL6+AM6</f>
        <v>123885100.09</v>
      </c>
      <c r="AO6" s="14" t="s">
        <v>82</v>
      </c>
      <c r="AP6" s="15" t="s">
        <v>83</v>
      </c>
      <c r="AQ6" s="7">
        <v>125100836.38</v>
      </c>
      <c r="AR6" s="7">
        <v>6689188.42</v>
      </c>
      <c r="AS6" s="7">
        <f>+AQ6+AR6</f>
        <v>131790024.8</v>
      </c>
      <c r="AT6" s="14" t="s">
        <v>82</v>
      </c>
      <c r="AU6" s="15" t="s">
        <v>83</v>
      </c>
      <c r="AV6" s="8">
        <v>6902245.01</v>
      </c>
      <c r="AW6" s="8">
        <v>121940.76</v>
      </c>
      <c r="AX6" s="8">
        <f t="shared" si="1"/>
        <v>7024185.77</v>
      </c>
      <c r="AY6" s="14" t="s">
        <v>82</v>
      </c>
      <c r="AZ6" s="15" t="s">
        <v>83</v>
      </c>
      <c r="BA6" s="8">
        <v>26571808.31</v>
      </c>
      <c r="BB6" s="8">
        <v>482681.77</v>
      </c>
      <c r="BC6" s="8">
        <f t="shared" si="2"/>
        <v>27054490.08</v>
      </c>
      <c r="BD6" s="14" t="s">
        <v>82</v>
      </c>
      <c r="BE6" s="15" t="s">
        <v>83</v>
      </c>
      <c r="BF6" s="8">
        <v>36662506.49</v>
      </c>
      <c r="BG6" s="8">
        <v>680605.51</v>
      </c>
      <c r="BH6" s="8">
        <f t="shared" si="3"/>
        <v>37343112</v>
      </c>
      <c r="BI6" s="14" t="s">
        <v>82</v>
      </c>
      <c r="BJ6" s="15" t="s">
        <v>83</v>
      </c>
      <c r="BK6" s="8">
        <v>46438145.69</v>
      </c>
      <c r="BL6" s="8">
        <v>1313876.33</v>
      </c>
      <c r="BM6" s="8">
        <f t="shared" si="4"/>
        <v>47752022.019999996</v>
      </c>
      <c r="BN6" s="14" t="s">
        <v>82</v>
      </c>
      <c r="BO6" s="15" t="s">
        <v>83</v>
      </c>
      <c r="BP6" s="8">
        <v>50245266.72</v>
      </c>
      <c r="BQ6" s="8">
        <v>1320951.11</v>
      </c>
      <c r="BR6" s="8">
        <f t="shared" si="5"/>
        <v>51566217.83</v>
      </c>
      <c r="BS6" s="14" t="s">
        <v>82</v>
      </c>
      <c r="BT6" s="15" t="s">
        <v>83</v>
      </c>
      <c r="BU6" s="8">
        <v>81785243.36</v>
      </c>
      <c r="BV6" s="8">
        <v>2301069.61</v>
      </c>
      <c r="BW6" s="8">
        <f t="shared" si="6"/>
        <v>84086312.97</v>
      </c>
      <c r="BX6" s="14" t="s">
        <v>82</v>
      </c>
      <c r="BY6" s="15" t="s">
        <v>83</v>
      </c>
      <c r="BZ6" s="8">
        <v>90406461.63</v>
      </c>
      <c r="CA6" s="8">
        <v>2668661.61</v>
      </c>
      <c r="CB6" s="8">
        <f t="shared" si="7"/>
        <v>93075123.24</v>
      </c>
      <c r="CC6" s="14" t="s">
        <v>82</v>
      </c>
      <c r="CD6" s="15" t="s">
        <v>83</v>
      </c>
      <c r="CE6" s="8">
        <v>106901313.75</v>
      </c>
      <c r="CF6" s="8">
        <v>3001072.11</v>
      </c>
      <c r="CG6" s="8">
        <f t="shared" si="8"/>
        <v>109902385.86</v>
      </c>
      <c r="CH6" s="14" t="s">
        <v>82</v>
      </c>
      <c r="CI6" s="15" t="s">
        <v>83</v>
      </c>
      <c r="CJ6" s="8">
        <v>127419231.61</v>
      </c>
      <c r="CK6" s="8">
        <v>3339412.61</v>
      </c>
      <c r="CL6" s="8">
        <f t="shared" si="9"/>
        <v>130758644.22</v>
      </c>
    </row>
    <row r="7" spans="1:90" ht="21">
      <c r="A7" s="16"/>
      <c r="B7" s="15" t="s">
        <v>84</v>
      </c>
      <c r="C7" s="8">
        <f>+C5+C6</f>
        <v>89458652.57000001</v>
      </c>
      <c r="D7" s="8">
        <f>+D5+D6</f>
        <v>8350470.899999999</v>
      </c>
      <c r="E7" s="8">
        <f t="shared" si="0"/>
        <v>97809123.47000001</v>
      </c>
      <c r="F7" s="16"/>
      <c r="G7" s="15" t="s">
        <v>84</v>
      </c>
      <c r="H7" s="8">
        <f>+H5+H6</f>
        <v>104446381.16</v>
      </c>
      <c r="I7" s="8">
        <f>+I5+I6</f>
        <v>8674305.64</v>
      </c>
      <c r="J7" s="8">
        <f>+H7+I7</f>
        <v>113120686.8</v>
      </c>
      <c r="K7" s="16"/>
      <c r="L7" s="15" t="s">
        <v>84</v>
      </c>
      <c r="M7" s="8">
        <f>+M5+M6</f>
        <v>117201215.99000001</v>
      </c>
      <c r="N7" s="8">
        <f>+N5+N6</f>
        <v>9195362.36</v>
      </c>
      <c r="O7" s="8">
        <f>+M7+N7</f>
        <v>126396578.35000001</v>
      </c>
      <c r="P7" s="16"/>
      <c r="Q7" s="15" t="s">
        <v>84</v>
      </c>
      <c r="R7" s="8">
        <f>+R5+R6</f>
        <v>127727499.38</v>
      </c>
      <c r="S7" s="8">
        <f>+S5+S6</f>
        <v>9598901.129999999</v>
      </c>
      <c r="T7" s="8">
        <f>+R7+S7</f>
        <v>137326400.51</v>
      </c>
      <c r="U7" s="16"/>
      <c r="V7" s="15" t="s">
        <v>84</v>
      </c>
      <c r="W7" s="8">
        <f>+W5+W6</f>
        <v>138179199.25</v>
      </c>
      <c r="X7" s="8">
        <f>+X5+X6</f>
        <v>10174241.9</v>
      </c>
      <c r="Y7" s="8">
        <f>+W7+X7</f>
        <v>148353441.15</v>
      </c>
      <c r="Z7" s="16"/>
      <c r="AA7" s="15" t="s">
        <v>84</v>
      </c>
      <c r="AB7" s="8">
        <f>+AB5+AB6</f>
        <v>156956377.73000002</v>
      </c>
      <c r="AC7" s="8">
        <f>+AC5+AC6</f>
        <v>10848494.68</v>
      </c>
      <c r="AD7" s="8">
        <f>+AB7+AC7</f>
        <v>167804872.41000003</v>
      </c>
      <c r="AE7" s="16"/>
      <c r="AF7" s="15" t="s">
        <v>84</v>
      </c>
      <c r="AG7" s="8">
        <f>+AG5+AG6</f>
        <v>167212320.53</v>
      </c>
      <c r="AH7" s="8">
        <f>+AH5+AH6</f>
        <v>11040643.14</v>
      </c>
      <c r="AI7" s="8">
        <f>+AG7+AH7</f>
        <v>178252963.67000002</v>
      </c>
      <c r="AJ7" s="16"/>
      <c r="AK7" s="15" t="s">
        <v>84</v>
      </c>
      <c r="AL7" s="8">
        <f>+AL5+AL6</f>
        <v>197129262.84</v>
      </c>
      <c r="AM7" s="8">
        <f>+AM5+AM6</f>
        <v>14472216.92</v>
      </c>
      <c r="AN7" s="8">
        <f>+AL7+AM7</f>
        <v>211601479.76</v>
      </c>
      <c r="AO7" s="16"/>
      <c r="AP7" s="15" t="s">
        <v>84</v>
      </c>
      <c r="AQ7" s="8">
        <f>+AQ5+AQ6</f>
        <v>204735127.32999998</v>
      </c>
      <c r="AR7" s="8">
        <f>+AR5+AR6</f>
        <v>14771277.14</v>
      </c>
      <c r="AS7" s="8">
        <f>+AQ7+AR7</f>
        <v>219506404.46999997</v>
      </c>
      <c r="AT7" s="16"/>
      <c r="AU7" s="15" t="s">
        <v>84</v>
      </c>
      <c r="AV7" s="7">
        <f>+AV5+AV6</f>
        <v>83756035.56</v>
      </c>
      <c r="AW7" s="7">
        <f>+AW5+AW6</f>
        <v>1246506.25</v>
      </c>
      <c r="AX7" s="7">
        <f t="shared" si="1"/>
        <v>85002541.81</v>
      </c>
      <c r="AY7" s="16"/>
      <c r="AZ7" s="15" t="s">
        <v>84</v>
      </c>
      <c r="BA7" s="7">
        <f>+BA5+BA6</f>
        <v>103425598.86</v>
      </c>
      <c r="BB7" s="7">
        <f>+BB5+BB6</f>
        <v>1607247.26</v>
      </c>
      <c r="BC7" s="7">
        <f t="shared" si="2"/>
        <v>105032846.12</v>
      </c>
      <c r="BD7" s="16"/>
      <c r="BE7" s="15" t="s">
        <v>84</v>
      </c>
      <c r="BF7" s="7">
        <f>+BF5+BF6</f>
        <v>113516297.03999999</v>
      </c>
      <c r="BG7" s="7">
        <f>+BG5+BG6</f>
        <v>1805171</v>
      </c>
      <c r="BH7" s="7">
        <f t="shared" si="3"/>
        <v>115321468.03999999</v>
      </c>
      <c r="BI7" s="16"/>
      <c r="BJ7" s="15" t="s">
        <v>84</v>
      </c>
      <c r="BK7" s="7">
        <f>+BK5+BK6</f>
        <v>123291936.24</v>
      </c>
      <c r="BL7" s="7">
        <f>+BL5+BL6</f>
        <v>2438441.8200000003</v>
      </c>
      <c r="BM7" s="7">
        <f t="shared" si="4"/>
        <v>125730378.06</v>
      </c>
      <c r="BN7" s="16"/>
      <c r="BO7" s="15" t="s">
        <v>84</v>
      </c>
      <c r="BP7" s="7">
        <f>+BP5+BP6</f>
        <v>127099057.27</v>
      </c>
      <c r="BQ7" s="7">
        <f>+BQ5+BQ6</f>
        <v>2445516.6</v>
      </c>
      <c r="BR7" s="7">
        <f t="shared" si="5"/>
        <v>129544573.86999999</v>
      </c>
      <c r="BS7" s="16"/>
      <c r="BT7" s="15" t="s">
        <v>84</v>
      </c>
      <c r="BU7" s="7">
        <f>+BU5+BU6</f>
        <v>158639033.91</v>
      </c>
      <c r="BV7" s="7">
        <f>+BV5+BV6</f>
        <v>3425635.0999999996</v>
      </c>
      <c r="BW7" s="7">
        <f t="shared" si="6"/>
        <v>162064669.01</v>
      </c>
      <c r="BX7" s="16"/>
      <c r="BY7" s="15" t="s">
        <v>84</v>
      </c>
      <c r="BZ7" s="7">
        <f>+BZ5+BZ6</f>
        <v>167260252.18</v>
      </c>
      <c r="CA7" s="7">
        <f>+CA5+CA6</f>
        <v>3793227.0999999996</v>
      </c>
      <c r="CB7" s="7">
        <f t="shared" si="7"/>
        <v>171053479.28</v>
      </c>
      <c r="CC7" s="16"/>
      <c r="CD7" s="15" t="s">
        <v>84</v>
      </c>
      <c r="CE7" s="7">
        <f>+CE5+CE6</f>
        <v>183755104.3</v>
      </c>
      <c r="CF7" s="7">
        <f>+CF5+CF6</f>
        <v>4125637.5999999996</v>
      </c>
      <c r="CG7" s="7">
        <f t="shared" si="8"/>
        <v>187880741.9</v>
      </c>
      <c r="CH7" s="16"/>
      <c r="CI7" s="15" t="s">
        <v>84</v>
      </c>
      <c r="CJ7" s="7">
        <f>+CJ5+CJ6</f>
        <v>204273022.16</v>
      </c>
      <c r="CK7" s="7">
        <f>+CK5+CK6</f>
        <v>4463978.1</v>
      </c>
      <c r="CL7" s="7">
        <f t="shared" si="9"/>
        <v>208737000.26</v>
      </c>
    </row>
    <row r="8" spans="1:90" ht="21">
      <c r="A8" s="14" t="s">
        <v>85</v>
      </c>
      <c r="B8" s="15" t="s">
        <v>86</v>
      </c>
      <c r="C8" s="8">
        <v>3874529.62</v>
      </c>
      <c r="D8" s="8">
        <v>18909</v>
      </c>
      <c r="E8" s="8">
        <f t="shared" si="0"/>
        <v>3893438.62</v>
      </c>
      <c r="F8" s="14" t="s">
        <v>85</v>
      </c>
      <c r="G8" s="15" t="s">
        <v>86</v>
      </c>
      <c r="H8" s="8">
        <v>10147821.79</v>
      </c>
      <c r="I8" s="8">
        <v>433738.21</v>
      </c>
      <c r="J8" s="8">
        <f>+H8+I8</f>
        <v>10581560</v>
      </c>
      <c r="K8" s="14" t="s">
        <v>85</v>
      </c>
      <c r="L8" s="15" t="s">
        <v>86</v>
      </c>
      <c r="M8" s="8">
        <v>18478658.15</v>
      </c>
      <c r="N8" s="8">
        <v>646396.12</v>
      </c>
      <c r="O8" s="8">
        <f>+M8+N8</f>
        <v>19125054.27</v>
      </c>
      <c r="P8" s="14" t="s">
        <v>85</v>
      </c>
      <c r="Q8" s="15" t="s">
        <v>86</v>
      </c>
      <c r="R8" s="8">
        <v>27406396.47</v>
      </c>
      <c r="S8" s="8">
        <v>906719.39</v>
      </c>
      <c r="T8" s="8">
        <f>+R8+S8</f>
        <v>28313115.86</v>
      </c>
      <c r="U8" s="14" t="s">
        <v>85</v>
      </c>
      <c r="V8" s="15" t="s">
        <v>86</v>
      </c>
      <c r="W8" s="8">
        <v>45885144.26</v>
      </c>
      <c r="X8" s="8">
        <v>1124792.05</v>
      </c>
      <c r="Y8" s="8">
        <f>+W8+X8</f>
        <v>47009936.309999995</v>
      </c>
      <c r="Z8" s="14" t="s">
        <v>85</v>
      </c>
      <c r="AA8" s="15" t="s">
        <v>86</v>
      </c>
      <c r="AB8" s="8">
        <v>66774361.09</v>
      </c>
      <c r="AC8" s="8">
        <v>1742213.87</v>
      </c>
      <c r="AD8" s="8">
        <f>+AB8+AC8</f>
        <v>68516574.96000001</v>
      </c>
      <c r="AE8" s="14" t="s">
        <v>85</v>
      </c>
      <c r="AF8" s="15" t="s">
        <v>86</v>
      </c>
      <c r="AG8" s="8">
        <v>75610490.31</v>
      </c>
      <c r="AH8" s="8">
        <v>2103289.59</v>
      </c>
      <c r="AI8" s="8">
        <f>+AG8+AH8</f>
        <v>77713779.9</v>
      </c>
      <c r="AJ8" s="14" t="s">
        <v>85</v>
      </c>
      <c r="AK8" s="15" t="s">
        <v>86</v>
      </c>
      <c r="AL8" s="8">
        <v>109337692.61</v>
      </c>
      <c r="AM8" s="8">
        <v>2534036.52</v>
      </c>
      <c r="AN8" s="8">
        <f>+AL8+AM8</f>
        <v>111871729.13</v>
      </c>
      <c r="AO8" s="14" t="s">
        <v>85</v>
      </c>
      <c r="AP8" s="15" t="s">
        <v>86</v>
      </c>
      <c r="AQ8" s="8">
        <v>120329117.71</v>
      </c>
      <c r="AR8" s="8">
        <v>2812685.19</v>
      </c>
      <c r="AS8" s="8">
        <f>+AQ8+AR8</f>
        <v>123141802.89999999</v>
      </c>
      <c r="AT8" s="14" t="s">
        <v>85</v>
      </c>
      <c r="AU8" s="15" t="s">
        <v>86</v>
      </c>
      <c r="AV8" s="8">
        <v>4615126.08</v>
      </c>
      <c r="AW8" s="8">
        <v>0</v>
      </c>
      <c r="AX8" s="7">
        <f t="shared" si="1"/>
        <v>4615126.08</v>
      </c>
      <c r="AY8" s="14" t="s">
        <v>85</v>
      </c>
      <c r="AZ8" s="15" t="s">
        <v>86</v>
      </c>
      <c r="BA8" s="8">
        <v>17301232.69</v>
      </c>
      <c r="BB8" s="8">
        <v>862593.28</v>
      </c>
      <c r="BC8" s="7">
        <f t="shared" si="2"/>
        <v>18163825.970000003</v>
      </c>
      <c r="BD8" s="14" t="s">
        <v>85</v>
      </c>
      <c r="BE8" s="15" t="s">
        <v>86</v>
      </c>
      <c r="BF8" s="8">
        <v>28166802.32</v>
      </c>
      <c r="BG8" s="8">
        <v>896854.68</v>
      </c>
      <c r="BH8" s="7">
        <f t="shared" si="3"/>
        <v>29063657</v>
      </c>
      <c r="BI8" s="14" t="s">
        <v>85</v>
      </c>
      <c r="BJ8" s="15" t="s">
        <v>86</v>
      </c>
      <c r="BK8" s="8">
        <v>43421297.87</v>
      </c>
      <c r="BL8" s="8">
        <v>896854.68</v>
      </c>
      <c r="BM8" s="7">
        <f t="shared" si="4"/>
        <v>44318152.55</v>
      </c>
      <c r="BN8" s="14" t="s">
        <v>85</v>
      </c>
      <c r="BO8" s="15" t="s">
        <v>86</v>
      </c>
      <c r="BP8" s="8">
        <v>49583721.1</v>
      </c>
      <c r="BQ8" s="8">
        <v>896854.68</v>
      </c>
      <c r="BR8" s="7">
        <f t="shared" si="5"/>
        <v>50480575.78</v>
      </c>
      <c r="BS8" s="14" t="s">
        <v>85</v>
      </c>
      <c r="BT8" s="15" t="s">
        <v>86</v>
      </c>
      <c r="BU8" s="8">
        <v>80823583.63</v>
      </c>
      <c r="BV8" s="8">
        <v>896854.68</v>
      </c>
      <c r="BW8" s="7">
        <f t="shared" si="6"/>
        <v>81720438.31</v>
      </c>
      <c r="BX8" s="14" t="s">
        <v>85</v>
      </c>
      <c r="BY8" s="15" t="s">
        <v>86</v>
      </c>
      <c r="BZ8" s="8">
        <v>94630583.58</v>
      </c>
      <c r="CA8" s="8">
        <v>896854.68</v>
      </c>
      <c r="CB8" s="7">
        <f t="shared" si="7"/>
        <v>95527438.26</v>
      </c>
      <c r="CC8" s="14" t="s">
        <v>85</v>
      </c>
      <c r="CD8" s="15" t="s">
        <v>86</v>
      </c>
      <c r="CE8" s="8">
        <v>106129543.58</v>
      </c>
      <c r="CF8" s="8">
        <v>896854.68</v>
      </c>
      <c r="CG8" s="7">
        <f t="shared" si="8"/>
        <v>107026398.26</v>
      </c>
      <c r="CH8" s="14" t="s">
        <v>85</v>
      </c>
      <c r="CI8" s="15" t="s">
        <v>86</v>
      </c>
      <c r="CJ8" s="8">
        <v>139265099.87</v>
      </c>
      <c r="CK8" s="8">
        <v>896854.68</v>
      </c>
      <c r="CL8" s="7">
        <f t="shared" si="9"/>
        <v>140161954.55</v>
      </c>
    </row>
    <row r="9" spans="1:90" ht="21">
      <c r="A9" s="225"/>
      <c r="B9" s="243"/>
      <c r="C9" s="153"/>
      <c r="D9" s="153"/>
      <c r="E9" s="153"/>
      <c r="F9" s="225"/>
      <c r="G9" s="243"/>
      <c r="H9" s="153"/>
      <c r="I9" s="153"/>
      <c r="J9" s="153"/>
      <c r="K9" s="225"/>
      <c r="L9" s="243"/>
      <c r="M9" s="153"/>
      <c r="N9" s="153"/>
      <c r="O9" s="153"/>
      <c r="P9" s="225"/>
      <c r="Q9" s="243"/>
      <c r="R9" s="153"/>
      <c r="S9" s="153"/>
      <c r="T9" s="153"/>
      <c r="U9" s="225"/>
      <c r="V9" s="243"/>
      <c r="W9" s="153"/>
      <c r="X9" s="153"/>
      <c r="Y9" s="153"/>
      <c r="Z9" s="225"/>
      <c r="AA9" s="243"/>
      <c r="AB9" s="153"/>
      <c r="AC9" s="153"/>
      <c r="AD9" s="153"/>
      <c r="AE9" s="225"/>
      <c r="AF9" s="243"/>
      <c r="AG9" s="153"/>
      <c r="AH9" s="153"/>
      <c r="AI9" s="153"/>
      <c r="AJ9" s="225"/>
      <c r="AK9" s="243"/>
      <c r="AL9" s="153"/>
      <c r="AM9" s="153"/>
      <c r="AN9" s="153"/>
      <c r="AO9" s="225"/>
      <c r="AP9" s="243"/>
      <c r="AQ9" s="153"/>
      <c r="AR9" s="153"/>
      <c r="AS9" s="153"/>
      <c r="AT9" s="244"/>
      <c r="AU9" s="41" t="s">
        <v>87</v>
      </c>
      <c r="AV9" s="242">
        <f>+AV7-AV8</f>
        <v>79140909.48</v>
      </c>
      <c r="AW9" s="242">
        <f>+AW7-AW8</f>
        <v>1246506.25</v>
      </c>
      <c r="AX9" s="7">
        <f t="shared" si="1"/>
        <v>80387415.73</v>
      </c>
      <c r="AY9" s="244"/>
      <c r="AZ9" s="41" t="s">
        <v>87</v>
      </c>
      <c r="BA9" s="242">
        <f>+BA7-BA8</f>
        <v>86124366.17</v>
      </c>
      <c r="BB9" s="242">
        <f>+BB7-BB8</f>
        <v>744653.98</v>
      </c>
      <c r="BC9" s="7">
        <f t="shared" si="2"/>
        <v>86869020.15</v>
      </c>
      <c r="BD9" s="244"/>
      <c r="BE9" s="41" t="s">
        <v>87</v>
      </c>
      <c r="BF9" s="242">
        <f>+BF7-BF8</f>
        <v>85349494.72</v>
      </c>
      <c r="BG9" s="242">
        <f>+BG7-BG8</f>
        <v>908316.32</v>
      </c>
      <c r="BH9" s="7">
        <f t="shared" si="3"/>
        <v>86257811.03999999</v>
      </c>
      <c r="BI9" s="244"/>
      <c r="BJ9" s="41" t="s">
        <v>87</v>
      </c>
      <c r="BK9" s="242">
        <f>+BK7-BK8</f>
        <v>79870638.37</v>
      </c>
      <c r="BL9" s="242">
        <f>+BL7-BL8</f>
        <v>1541587.1400000001</v>
      </c>
      <c r="BM9" s="7">
        <f t="shared" si="4"/>
        <v>81412225.51</v>
      </c>
      <c r="BN9" s="244"/>
      <c r="BO9" s="41" t="s">
        <v>87</v>
      </c>
      <c r="BP9" s="242">
        <f>+BP7-BP8</f>
        <v>77515336.16999999</v>
      </c>
      <c r="BQ9" s="242">
        <f>+BQ7-BQ8</f>
        <v>1548661.92</v>
      </c>
      <c r="BR9" s="7">
        <f t="shared" si="5"/>
        <v>79063998.08999999</v>
      </c>
      <c r="BS9" s="244"/>
      <c r="BT9" s="41" t="s">
        <v>87</v>
      </c>
      <c r="BU9" s="242">
        <f>+BU7-BU8</f>
        <v>77815450.28</v>
      </c>
      <c r="BV9" s="242">
        <f>+BV7-BV8</f>
        <v>2528780.4199999995</v>
      </c>
      <c r="BW9" s="7">
        <f t="shared" si="6"/>
        <v>80344230.7</v>
      </c>
      <c r="BX9" s="244"/>
      <c r="BY9" s="41" t="s">
        <v>87</v>
      </c>
      <c r="BZ9" s="242">
        <f>+BZ7-BZ8</f>
        <v>72629668.60000001</v>
      </c>
      <c r="CA9" s="242">
        <f>+CA7-CA8</f>
        <v>2896372.4199999995</v>
      </c>
      <c r="CB9" s="7">
        <f t="shared" si="7"/>
        <v>75526041.02000001</v>
      </c>
      <c r="CC9" s="244"/>
      <c r="CD9" s="41" t="s">
        <v>87</v>
      </c>
      <c r="CE9" s="242">
        <f>+CE7-CE8</f>
        <v>77625560.72000001</v>
      </c>
      <c r="CF9" s="242">
        <f>+CF7-CF8</f>
        <v>3228782.9199999995</v>
      </c>
      <c r="CG9" s="7">
        <f t="shared" si="8"/>
        <v>80854343.64000002</v>
      </c>
      <c r="CH9" s="244"/>
      <c r="CI9" s="41" t="s">
        <v>87</v>
      </c>
      <c r="CJ9" s="242">
        <v>39766276.35</v>
      </c>
      <c r="CK9" s="242">
        <f>+CK7-CK8</f>
        <v>3567123.4199999995</v>
      </c>
      <c r="CL9" s="7">
        <f t="shared" si="9"/>
        <v>43333399.77</v>
      </c>
    </row>
    <row r="10" spans="1:90" ht="21">
      <c r="A10" s="17" t="s">
        <v>85</v>
      </c>
      <c r="B10" s="18" t="s">
        <v>88</v>
      </c>
      <c r="C10" s="9">
        <v>7696704.27</v>
      </c>
      <c r="D10" s="9">
        <v>849569</v>
      </c>
      <c r="E10" s="9">
        <f t="shared" si="0"/>
        <v>8546273.27</v>
      </c>
      <c r="F10" s="17" t="s">
        <v>85</v>
      </c>
      <c r="G10" s="18" t="s">
        <v>88</v>
      </c>
      <c r="H10" s="9">
        <v>13627287.76</v>
      </c>
      <c r="I10" s="9">
        <v>807974.48</v>
      </c>
      <c r="J10" s="9">
        <f>+H10+I10</f>
        <v>14435262.24</v>
      </c>
      <c r="K10" s="17" t="s">
        <v>85</v>
      </c>
      <c r="L10" s="18" t="s">
        <v>88</v>
      </c>
      <c r="M10" s="9">
        <v>20580398.16</v>
      </c>
      <c r="N10" s="9">
        <v>749122.44</v>
      </c>
      <c r="O10" s="9">
        <f>+M10+N10</f>
        <v>21329520.6</v>
      </c>
      <c r="P10" s="17" t="s">
        <v>85</v>
      </c>
      <c r="Q10" s="18" t="s">
        <v>88</v>
      </c>
      <c r="R10" s="9">
        <v>19095378.03</v>
      </c>
      <c r="S10" s="9">
        <v>659679.6</v>
      </c>
      <c r="T10" s="9">
        <f>+R10+S10</f>
        <v>19755057.630000003</v>
      </c>
      <c r="U10" s="17" t="s">
        <v>85</v>
      </c>
      <c r="V10" s="18" t="s">
        <v>88</v>
      </c>
      <c r="W10" s="9">
        <v>17047068.72</v>
      </c>
      <c r="X10" s="9">
        <v>690982.44</v>
      </c>
      <c r="Y10" s="9">
        <f>+W10+X10</f>
        <v>17738051.16</v>
      </c>
      <c r="Z10" s="17" t="s">
        <v>85</v>
      </c>
      <c r="AA10" s="18" t="s">
        <v>88</v>
      </c>
      <c r="AB10" s="9">
        <v>14573622.25</v>
      </c>
      <c r="AC10" s="9">
        <v>585550.44</v>
      </c>
      <c r="AD10" s="9">
        <f>+AB10+AC10</f>
        <v>15159172.69</v>
      </c>
      <c r="AE10" s="17" t="s">
        <v>85</v>
      </c>
      <c r="AF10" s="18" t="s">
        <v>88</v>
      </c>
      <c r="AG10" s="9">
        <v>12228434.28</v>
      </c>
      <c r="AH10" s="9">
        <v>462516.4</v>
      </c>
      <c r="AI10" s="9">
        <f>+AG10+AH10</f>
        <v>12690950.68</v>
      </c>
      <c r="AJ10" s="17" t="s">
        <v>85</v>
      </c>
      <c r="AK10" s="18" t="s">
        <v>88</v>
      </c>
      <c r="AL10" s="9">
        <v>11606959.84</v>
      </c>
      <c r="AM10" s="9">
        <v>1235872.3</v>
      </c>
      <c r="AN10" s="9">
        <f>+AL10+AM10</f>
        <v>12842832.14</v>
      </c>
      <c r="AO10" s="17" t="s">
        <v>85</v>
      </c>
      <c r="AP10" s="18" t="s">
        <v>88</v>
      </c>
      <c r="AQ10" s="9">
        <v>10036967.12</v>
      </c>
      <c r="AR10" s="9">
        <v>1138929.12</v>
      </c>
      <c r="AS10" s="9">
        <f>+AQ10+AR10</f>
        <v>11175896.239999998</v>
      </c>
      <c r="AT10" s="17" t="s">
        <v>85</v>
      </c>
      <c r="AU10" s="18" t="s">
        <v>88</v>
      </c>
      <c r="AV10" s="9">
        <v>2916471.05</v>
      </c>
      <c r="AW10" s="9">
        <v>896854.68</v>
      </c>
      <c r="AX10" s="7">
        <f t="shared" si="1"/>
        <v>3813325.73</v>
      </c>
      <c r="AY10" s="17" t="s">
        <v>85</v>
      </c>
      <c r="AZ10" s="18" t="s">
        <v>88</v>
      </c>
      <c r="BA10" s="9">
        <v>19012347.43</v>
      </c>
      <c r="BB10" s="9">
        <v>34261.4</v>
      </c>
      <c r="BC10" s="7">
        <f t="shared" si="2"/>
        <v>19046608.83</v>
      </c>
      <c r="BD10" s="17" t="s">
        <v>85</v>
      </c>
      <c r="BE10" s="18" t="s">
        <v>88</v>
      </c>
      <c r="BF10" s="9">
        <v>18681377.27</v>
      </c>
      <c r="BG10" s="9">
        <v>0</v>
      </c>
      <c r="BH10" s="7">
        <f t="shared" si="3"/>
        <v>18681377.27</v>
      </c>
      <c r="BI10" s="17" t="s">
        <v>85</v>
      </c>
      <c r="BJ10" s="18" t="s">
        <v>88</v>
      </c>
      <c r="BK10" s="9">
        <v>17404607.2</v>
      </c>
      <c r="BL10" s="9">
        <v>0</v>
      </c>
      <c r="BM10" s="7">
        <f t="shared" si="4"/>
        <v>17404607.2</v>
      </c>
      <c r="BN10" s="17" t="s">
        <v>85</v>
      </c>
      <c r="BO10" s="18" t="s">
        <v>88</v>
      </c>
      <c r="BP10" s="9">
        <v>16088116.95</v>
      </c>
      <c r="BQ10" s="9">
        <v>0</v>
      </c>
      <c r="BR10" s="7">
        <f t="shared" si="5"/>
        <v>16088116.95</v>
      </c>
      <c r="BS10" s="17" t="s">
        <v>85</v>
      </c>
      <c r="BT10" s="18" t="s">
        <v>88</v>
      </c>
      <c r="BU10" s="9">
        <v>27976702.6</v>
      </c>
      <c r="BV10" s="9">
        <v>0</v>
      </c>
      <c r="BW10" s="7">
        <f t="shared" si="6"/>
        <v>27976702.6</v>
      </c>
      <c r="BX10" s="17" t="s">
        <v>85</v>
      </c>
      <c r="BY10" s="18" t="s">
        <v>88</v>
      </c>
      <c r="BZ10" s="9">
        <v>25478814.09</v>
      </c>
      <c r="CA10" s="9">
        <v>0</v>
      </c>
      <c r="CB10" s="7">
        <f t="shared" si="7"/>
        <v>25478814.09</v>
      </c>
      <c r="CC10" s="17" t="s">
        <v>85</v>
      </c>
      <c r="CD10" s="18" t="s">
        <v>88</v>
      </c>
      <c r="CE10" s="9">
        <v>27916831.36</v>
      </c>
      <c r="CF10" s="9">
        <v>0</v>
      </c>
      <c r="CG10" s="7">
        <f t="shared" si="8"/>
        <v>27916831.36</v>
      </c>
      <c r="CH10" s="17" t="s">
        <v>85</v>
      </c>
      <c r="CI10" s="18" t="s">
        <v>88</v>
      </c>
      <c r="CJ10" s="9">
        <v>21596955.69</v>
      </c>
      <c r="CK10" s="9">
        <v>0</v>
      </c>
      <c r="CL10" s="7">
        <f>+CJ10+CK10</f>
        <v>21596955.69</v>
      </c>
    </row>
    <row r="11" spans="1:90" ht="21.75" thickBot="1">
      <c r="A11" s="19"/>
      <c r="B11" s="20" t="s">
        <v>89</v>
      </c>
      <c r="C11" s="6" t="e">
        <f>+#REF!-C10</f>
        <v>#REF!</v>
      </c>
      <c r="D11" s="6" t="e">
        <f>+#REF!-D10</f>
        <v>#REF!</v>
      </c>
      <c r="E11" s="3" t="e">
        <f t="shared" si="0"/>
        <v>#REF!</v>
      </c>
      <c r="F11" s="19"/>
      <c r="G11" s="20" t="s">
        <v>89</v>
      </c>
      <c r="H11" s="6" t="e">
        <f>+#REF!-H10</f>
        <v>#REF!</v>
      </c>
      <c r="I11" s="6" t="e">
        <f>+#REF!-I10</f>
        <v>#REF!</v>
      </c>
      <c r="J11" s="3" t="e">
        <f>+H11+I11</f>
        <v>#REF!</v>
      </c>
      <c r="K11" s="19"/>
      <c r="L11" s="20" t="s">
        <v>89</v>
      </c>
      <c r="M11" s="6" t="e">
        <f>+#REF!-M10</f>
        <v>#REF!</v>
      </c>
      <c r="N11" s="6" t="e">
        <f>+#REF!-N10</f>
        <v>#REF!</v>
      </c>
      <c r="O11" s="3" t="e">
        <f>+M11+N11</f>
        <v>#REF!</v>
      </c>
      <c r="P11" s="19"/>
      <c r="Q11" s="20" t="s">
        <v>89</v>
      </c>
      <c r="R11" s="6" t="e">
        <f>+#REF!-R10</f>
        <v>#REF!</v>
      </c>
      <c r="S11" s="6" t="e">
        <f>+#REF!-S10</f>
        <v>#REF!</v>
      </c>
      <c r="T11" s="3" t="e">
        <f>+R11+S11</f>
        <v>#REF!</v>
      </c>
      <c r="U11" s="19"/>
      <c r="V11" s="20" t="s">
        <v>89</v>
      </c>
      <c r="W11" s="6" t="e">
        <f>+#REF!-W10</f>
        <v>#REF!</v>
      </c>
      <c r="X11" s="6" t="e">
        <f>+#REF!-X10</f>
        <v>#REF!</v>
      </c>
      <c r="Y11" s="3" t="e">
        <f>+W11+X11</f>
        <v>#REF!</v>
      </c>
      <c r="Z11" s="19"/>
      <c r="AA11" s="20" t="s">
        <v>89</v>
      </c>
      <c r="AB11" s="6" t="e">
        <f>+#REF!-AB10</f>
        <v>#REF!</v>
      </c>
      <c r="AC11" s="6" t="e">
        <f>+#REF!-AC10</f>
        <v>#REF!</v>
      </c>
      <c r="AD11" s="3" t="e">
        <f>+AB11+AC11</f>
        <v>#REF!</v>
      </c>
      <c r="AE11" s="19"/>
      <c r="AF11" s="20" t="s">
        <v>89</v>
      </c>
      <c r="AG11" s="6" t="e">
        <f>+#REF!-AG10</f>
        <v>#REF!</v>
      </c>
      <c r="AH11" s="6" t="e">
        <f>+#REF!-AH10</f>
        <v>#REF!</v>
      </c>
      <c r="AI11" s="3" t="e">
        <f>+AG11+AH11</f>
        <v>#REF!</v>
      </c>
      <c r="AJ11" s="19"/>
      <c r="AK11" s="20" t="s">
        <v>89</v>
      </c>
      <c r="AL11" s="6" t="e">
        <f>+#REF!-AL10</f>
        <v>#REF!</v>
      </c>
      <c r="AM11" s="6" t="e">
        <f>+#REF!-AM10</f>
        <v>#REF!</v>
      </c>
      <c r="AN11" s="3" t="e">
        <f>+AL11+AM11</f>
        <v>#REF!</v>
      </c>
      <c r="AO11" s="19"/>
      <c r="AP11" s="20" t="s">
        <v>89</v>
      </c>
      <c r="AQ11" s="6" t="e">
        <f>+#REF!-AQ10</f>
        <v>#REF!</v>
      </c>
      <c r="AR11" s="6" t="e">
        <f>+#REF!-AR10</f>
        <v>#REF!</v>
      </c>
      <c r="AS11" s="3" t="e">
        <f>+AQ11+AR11</f>
        <v>#REF!</v>
      </c>
      <c r="AT11" s="19"/>
      <c r="AU11" s="20" t="s">
        <v>89</v>
      </c>
      <c r="AV11" s="6">
        <f>+AV9-AV10</f>
        <v>76224438.43</v>
      </c>
      <c r="AW11" s="6">
        <f>+AW9-AW10</f>
        <v>349651.56999999995</v>
      </c>
      <c r="AX11" s="3">
        <f t="shared" si="1"/>
        <v>76574090</v>
      </c>
      <c r="AY11" s="19"/>
      <c r="AZ11" s="20" t="s">
        <v>89</v>
      </c>
      <c r="BA11" s="6">
        <f>+BA9-BA10</f>
        <v>67112018.74000001</v>
      </c>
      <c r="BB11" s="6">
        <f>+BB9-BB10</f>
        <v>710392.58</v>
      </c>
      <c r="BC11" s="3">
        <f t="shared" si="2"/>
        <v>67822411.32000001</v>
      </c>
      <c r="BD11" s="19"/>
      <c r="BE11" s="20" t="s">
        <v>89</v>
      </c>
      <c r="BF11" s="6">
        <f>+BF9-BF10</f>
        <v>66668117.45</v>
      </c>
      <c r="BG11" s="6">
        <f>+BG9-BG10</f>
        <v>908316.32</v>
      </c>
      <c r="BH11" s="3">
        <f t="shared" si="3"/>
        <v>67576433.77</v>
      </c>
      <c r="BI11" s="19"/>
      <c r="BJ11" s="20" t="s">
        <v>89</v>
      </c>
      <c r="BK11" s="6">
        <f>+BK9-BK10</f>
        <v>62466031.17</v>
      </c>
      <c r="BL11" s="6">
        <f>+BL9-BL10</f>
        <v>1541587.1400000001</v>
      </c>
      <c r="BM11" s="3">
        <f t="shared" si="4"/>
        <v>64007618.31</v>
      </c>
      <c r="BN11" s="19"/>
      <c r="BO11" s="20" t="s">
        <v>89</v>
      </c>
      <c r="BP11" s="6">
        <f>+BP9-BP10</f>
        <v>61427219.219999984</v>
      </c>
      <c r="BQ11" s="6">
        <f>+BQ9-BQ10</f>
        <v>1548661.92</v>
      </c>
      <c r="BR11" s="3">
        <f t="shared" si="5"/>
        <v>62975881.139999986</v>
      </c>
      <c r="BS11" s="19"/>
      <c r="BT11" s="20" t="s">
        <v>89</v>
      </c>
      <c r="BU11" s="6">
        <f>+BU9-BU10</f>
        <v>49838747.68</v>
      </c>
      <c r="BV11" s="6">
        <f>+BV9-BV10</f>
        <v>2528780.4199999995</v>
      </c>
      <c r="BW11" s="3">
        <f t="shared" si="6"/>
        <v>52367528.1</v>
      </c>
      <c r="BX11" s="19"/>
      <c r="BY11" s="20" t="s">
        <v>89</v>
      </c>
      <c r="BZ11" s="6">
        <f>+BZ7-BZ8-BZ10</f>
        <v>47150854.510000005</v>
      </c>
      <c r="CA11" s="6">
        <f>+CA9-CA10</f>
        <v>2896372.4199999995</v>
      </c>
      <c r="CB11" s="3">
        <f t="shared" si="7"/>
        <v>50047226.93000001</v>
      </c>
      <c r="CC11" s="19"/>
      <c r="CD11" s="20" t="s">
        <v>89</v>
      </c>
      <c r="CE11" s="6">
        <f>+CE7-CE8-CE10</f>
        <v>49708729.360000014</v>
      </c>
      <c r="CF11" s="6">
        <f>+CF9-CF10</f>
        <v>3228782.9199999995</v>
      </c>
      <c r="CG11" s="3">
        <f t="shared" si="8"/>
        <v>52937512.280000016</v>
      </c>
      <c r="CH11" s="19"/>
      <c r="CI11" s="20" t="s">
        <v>89</v>
      </c>
      <c r="CJ11" s="6">
        <f>+CJ7-CJ8-CJ10</f>
        <v>43410966.599999994</v>
      </c>
      <c r="CK11" s="6">
        <f>+CK9-CK10</f>
        <v>3567123.4199999995</v>
      </c>
      <c r="CL11" s="3">
        <f t="shared" si="9"/>
        <v>46978090.019999996</v>
      </c>
    </row>
    <row r="12" ht="21.75" thickTop="1"/>
    <row r="14" spans="5:90" ht="21">
      <c r="E14" s="2" t="s">
        <v>65</v>
      </c>
      <c r="J14" s="2" t="s">
        <v>65</v>
      </c>
      <c r="O14" s="2" t="s">
        <v>65</v>
      </c>
      <c r="T14" s="2" t="s">
        <v>65</v>
      </c>
      <c r="Y14" s="2" t="s">
        <v>65</v>
      </c>
      <c r="AD14" s="2" t="s">
        <v>65</v>
      </c>
      <c r="AI14" s="2" t="s">
        <v>65</v>
      </c>
      <c r="AN14" s="2" t="s">
        <v>65</v>
      </c>
      <c r="AS14" s="2" t="s">
        <v>65</v>
      </c>
      <c r="AX14" s="2" t="s">
        <v>65</v>
      </c>
      <c r="BC14" s="2" t="s">
        <v>65</v>
      </c>
      <c r="BH14" s="2" t="s">
        <v>65</v>
      </c>
      <c r="BM14" s="2" t="s">
        <v>65</v>
      </c>
      <c r="BR14" s="2" t="s">
        <v>65</v>
      </c>
      <c r="BW14" s="2" t="s">
        <v>65</v>
      </c>
      <c r="CB14" s="2" t="s">
        <v>65</v>
      </c>
      <c r="CG14" s="2" t="s">
        <v>65</v>
      </c>
      <c r="CL14" s="2" t="s">
        <v>65</v>
      </c>
    </row>
  </sheetData>
  <sheetProtection/>
  <mergeCells count="54">
    <mergeCell ref="BX2:CB2"/>
    <mergeCell ref="BX4:BY4"/>
    <mergeCell ref="Z4:AA4"/>
    <mergeCell ref="K1:O1"/>
    <mergeCell ref="K2:O2"/>
    <mergeCell ref="K4:L4"/>
    <mergeCell ref="P1:T1"/>
    <mergeCell ref="P2:T2"/>
    <mergeCell ref="P4:Q4"/>
    <mergeCell ref="U1:Y1"/>
    <mergeCell ref="U2:Y2"/>
    <mergeCell ref="U4:V4"/>
    <mergeCell ref="A1:E1"/>
    <mergeCell ref="A2:E2"/>
    <mergeCell ref="A4:B4"/>
    <mergeCell ref="F1:J1"/>
    <mergeCell ref="F2:J2"/>
    <mergeCell ref="F4:G4"/>
    <mergeCell ref="Z1:AD1"/>
    <mergeCell ref="Z2:AD2"/>
    <mergeCell ref="BD1:BH1"/>
    <mergeCell ref="BD2:BH2"/>
    <mergeCell ref="AE1:AI1"/>
    <mergeCell ref="AE2:AI2"/>
    <mergeCell ref="AT1:AX1"/>
    <mergeCell ref="AT2:AX2"/>
    <mergeCell ref="AO1:AS1"/>
    <mergeCell ref="AO2:AS2"/>
    <mergeCell ref="AE4:AF4"/>
    <mergeCell ref="BD4:BE4"/>
    <mergeCell ref="AY1:BC1"/>
    <mergeCell ref="AY2:BC2"/>
    <mergeCell ref="AJ2:AN2"/>
    <mergeCell ref="AY4:AZ4"/>
    <mergeCell ref="AJ1:AN1"/>
    <mergeCell ref="AT4:AU4"/>
    <mergeCell ref="AO4:AP4"/>
    <mergeCell ref="BI4:BJ4"/>
    <mergeCell ref="AJ4:AK4"/>
    <mergeCell ref="BN1:BR1"/>
    <mergeCell ref="BN2:BR2"/>
    <mergeCell ref="BN4:BO4"/>
    <mergeCell ref="BI1:BM1"/>
    <mergeCell ref="BI2:BM2"/>
    <mergeCell ref="CH1:CL1"/>
    <mergeCell ref="CH2:CL2"/>
    <mergeCell ref="CH4:CI4"/>
    <mergeCell ref="BS1:BW1"/>
    <mergeCell ref="BS2:BW2"/>
    <mergeCell ref="BS4:BT4"/>
    <mergeCell ref="CC1:CG1"/>
    <mergeCell ref="CC2:CG2"/>
    <mergeCell ref="CC4:CD4"/>
    <mergeCell ref="BX1:CB1"/>
  </mergeCells>
  <printOptions/>
  <pageMargins left="1.71" right="0.11811023622047245" top="0.35433070866141736" bottom="0.984251968503937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USER</cp:lastModifiedBy>
  <cp:lastPrinted>2019-10-11T08:40:45Z</cp:lastPrinted>
  <dcterms:created xsi:type="dcterms:W3CDTF">2004-08-03T02:25:43Z</dcterms:created>
  <dcterms:modified xsi:type="dcterms:W3CDTF">2019-10-29T03:06:01Z</dcterms:modified>
  <cp:category/>
  <cp:version/>
  <cp:contentType/>
  <cp:contentStatus/>
</cp:coreProperties>
</file>